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<sst xmlns="http://schemas.openxmlformats.org/spreadsheetml/2006/main" count="28952" uniqueCount="456">
  <si>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</si>
  <si>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</si>
  <si>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</si>
  <si>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</si>
  <si>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</si>
  <si>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</si>
  <si>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</si>
  <si>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</si>
  <si>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</si>
  <si>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</si>
  <si>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</si>
  <si>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</si>
  <si>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</si>
  <si>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</si>
  <si>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</si>
  <si>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</si>
  <si>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</si>
  <si>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</si>
  <si>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</si>
  <si>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</si>
  <si>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</si>
  <si>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</si>
  <si>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</si>
  <si>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</si>
  <si>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</si>
  <si>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</si>
  <si>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</si>
  <si>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</si>
  <si>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</si>
  <si>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</si>
  <si>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</si>
  <si>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</si>
  <si>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</si>
  <si>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</si>
  <si>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</si>
  <si>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</si>
  <si>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</si>
  <si>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</si>
  <si>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</si>
  <si>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</si>
  <si>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</si>
  <si>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</si>
  <si>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</si>
  <si>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</si>
  <si>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</si>
  <si>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</si>
  <si>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</si>
  <si>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</si>
  <si>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</si>
  <si>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</si>
  <si>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</si>
  <si>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</si>
  <si>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</si>
  <si>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</si>
  <si>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</si>
  <si>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</si>
  <si>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</si>
  <si>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</si>
  <si>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</si>
  <si>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</si>
  <si>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</si>
  <si>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</si>
  <si>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</si>
  <si>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</si>
  <si>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</si>
  <si>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</si>
  <si>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</si>
  <si>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</si>
  <si>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</si>
  <si>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</si>
  <si>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</si>
  <si>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</si>
  <si>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</si>
  <si>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</si>
  <si>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</si>
  <si>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</si>
  <si>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</si>
  <si>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</si>
  <si>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</si>
  <si>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</si>
  <si>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</si>
  <si>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</si>
  <si>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</si>
  <si>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</si>
  <si>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</si>
  <si>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</si>
  <si>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</si>
  <si>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</si>
  <si>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</si>
  <si>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Adam Idah</t>
  </si>
  <si>
    <t>NOR</t>
  </si>
  <si>
    <t>Callum Wilson</t>
  </si>
  <si>
    <t>BOU</t>
  </si>
  <si>
    <t>Harry Kane</t>
  </si>
  <si>
    <t>TOT</t>
  </si>
  <si>
    <t>Matej Vydra</t>
  </si>
  <si>
    <t>BUR</t>
  </si>
  <si>
    <t>Michael Obafemi</t>
  </si>
  <si>
    <t>SOU</t>
  </si>
  <si>
    <t>Patrick Cutrone</t>
  </si>
  <si>
    <t>WOL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</si>
  <si>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</si>
  <si>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</si>
  <si>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</si>
  <si>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</si>
  <si>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</si>
  <si>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</si>
  <si>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</si>
  <si>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</si>
  <si>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</si>
  <si>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</si>
  <si>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Sébastien Haller</t>
  </si>
  <si>
    <t>WHU</t>
  </si>
  <si>
    <t>Moise Kean</t>
  </si>
  <si>
    <t>EVE</t>
  </si>
  <si>
    <t>Neal Maupay</t>
  </si>
  <si>
    <t>Gerard Deulofeu</t>
  </si>
  <si>
    <t>WAT</t>
  </si>
  <si>
    <t>Pierre-Emerick Aubameyang</t>
  </si>
  <si>
    <t>Dominic Calvert-Lewin</t>
  </si>
  <si>
    <t>Pedro Lomba Neto</t>
  </si>
  <si>
    <t>Chris Wood</t>
  </si>
  <si>
    <t>Aaron Connolly</t>
  </si>
  <si>
    <t>Albian Ajeti</t>
  </si>
  <si>
    <t>Diogo José Teixeira da Silva</t>
  </si>
  <si>
    <t>Sergio Aguero</t>
  </si>
  <si>
    <t>Roberto Firmino Barbosa de Oliveira</t>
  </si>
  <si>
    <t>LIV</t>
  </si>
  <si>
    <t>Troy Deeney</t>
  </si>
  <si>
    <t>Oumar Niasse</t>
  </si>
  <si>
    <t>Joshua King</t>
  </si>
  <si>
    <t>Jonathan Kodjia</t>
  </si>
  <si>
    <t>Raul Alonso Jimenez Rodriguez</t>
  </si>
  <si>
    <t>Shane Long</t>
  </si>
  <si>
    <t>Yoshinori Muto</t>
  </si>
  <si>
    <t>Ashley Barnes</t>
  </si>
  <si>
    <t>Christian Benteke</t>
  </si>
  <si>
    <t>Dennis Srbeny</t>
  </si>
  <si>
    <t>David McGoldrick</t>
  </si>
  <si>
    <t>Dwight Gayle</t>
  </si>
  <si>
    <t>Jordan Ayew</t>
  </si>
  <si>
    <t>Jay Rodriguez</t>
  </si>
  <si>
    <t>Alexandre Lacazette</t>
  </si>
  <si>
    <t>Mason Greenwood</t>
  </si>
  <si>
    <t>MUN</t>
  </si>
  <si>
    <t>Andy Carroll</t>
  </si>
  <si>
    <t>Tammy Abraham</t>
  </si>
  <si>
    <t>CHE</t>
  </si>
  <si>
    <t>Danny Ings</t>
  </si>
  <si>
    <t>Isaac Success Ajayi</t>
  </si>
  <si>
    <t>Dominic Solanke</t>
  </si>
  <si>
    <t>Sam Surridge</t>
  </si>
  <si>
    <t>Divock Origi</t>
  </si>
  <si>
    <t>Michy Batshuayi</t>
  </si>
  <si>
    <t>Connor Wickham</t>
  </si>
  <si>
    <t>Marcus Rashford</t>
  </si>
  <si>
    <t>Billy Sharp</t>
  </si>
  <si>
    <t>Andre Gray</t>
  </si>
  <si>
    <t>Harry Maguire</t>
  </si>
  <si>
    <t>Jonny Evans</t>
  </si>
  <si>
    <t>Emil Krafth</t>
  </si>
  <si>
    <t>Max Kilman</t>
  </si>
  <si>
    <t>James Tarkowski</t>
  </si>
  <si>
    <t>Luke Shaw</t>
  </si>
  <si>
    <t>Erik Pieters</t>
  </si>
  <si>
    <t>Jonathan Castro Otto</t>
  </si>
  <si>
    <t>Fabián Balbuena</t>
  </si>
  <si>
    <t>Jamal Lewis</t>
  </si>
  <si>
    <t>Jack Simpson</t>
  </si>
  <si>
    <t>Leighton Baines</t>
  </si>
  <si>
    <t>Sead Kolasinac</t>
  </si>
  <si>
    <t>Marcos Alonso</t>
  </si>
  <si>
    <t>Nicolás Otamendi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</si>
  <si>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</si>
  <si>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</si>
  <si>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</si>
  <si>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</si>
  <si>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</si>
  <si>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</si>
  <si>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</si>
  <si>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</si>
  <si>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José Holebas</t>
  </si>
  <si>
    <t>Trent Alexander-Arnold</t>
  </si>
  <si>
    <t>Mamadou Sakho</t>
  </si>
  <si>
    <t>Kyle Walker</t>
  </si>
  <si>
    <t>Patrick Van Aanholt</t>
  </si>
  <si>
    <t>Ryan Bennett</t>
  </si>
  <si>
    <t>Ezri Konsa Ngoyo</t>
  </si>
  <si>
    <t>Jetro Willems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</si>
  <si>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</si>
  <si>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</si>
  <si>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</si>
  <si>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</si>
  <si>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</si>
  <si>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</si>
  <si>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</si>
  <si>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</si>
  <si>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</si>
  <si>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</si>
  <si>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</si>
  <si>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</si>
  <si>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</si>
  <si>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</si>
  <si>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</si>
  <si>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</si>
  <si>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</si>
  <si>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</si>
  <si>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</si>
  <si>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</si>
  <si>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David Luiz Moreira Marinho</t>
  </si>
  <si>
    <t>Antonio Rüdiger</t>
  </si>
  <si>
    <t>Christian Fuchs</t>
  </si>
  <si>
    <t>Eric Garcia</t>
  </si>
  <si>
    <t>Joseph Gomez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</si>
  <si>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</si>
  <si>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</si>
  <si>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</si>
  <si>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</si>
  <si>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</si>
  <si>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</si>
  <si>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</si>
  <si>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</si>
  <si>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Ashley Young</t>
  </si>
  <si>
    <t>Mason Holgate</t>
  </si>
  <si>
    <t>Bernardo Fernandes da Silva Junior</t>
  </si>
  <si>
    <t>Neil Taylor</t>
  </si>
  <si>
    <t>James Justin</t>
  </si>
  <si>
    <t>Danny Rose</t>
  </si>
  <si>
    <t>Kortney Hause</t>
  </si>
  <si>
    <t>Yerry Mina</t>
  </si>
  <si>
    <t>Ryan Fredericks</t>
  </si>
  <si>
    <t>Ricardo Domingos Barbosa Pereira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</si>
  <si>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</si>
  <si>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</si>
  <si>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</si>
  <si>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</si>
  <si>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</si>
  <si>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</si>
  <si>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</si>
  <si>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</si>
  <si>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</si>
  <si>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</si>
  <si>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Kevin Long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</si>
  <si>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</si>
  <si>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</si>
  <si>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</si>
  <si>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</si>
  <si>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</si>
  <si>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</si>
  <si>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</si>
  <si>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</si>
  <si>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Fabian Schär</t>
  </si>
  <si>
    <t>Steve Cook</t>
  </si>
  <si>
    <t>Juan Foyth</t>
  </si>
  <si>
    <t>Romain Saiss</t>
  </si>
  <si>
    <t>Martín Montoya</t>
  </si>
  <si>
    <t>George Baldock</t>
  </si>
  <si>
    <t>Andrew Robertson</t>
  </si>
  <si>
    <t>Brandon Williams</t>
  </si>
  <si>
    <t>Ahmed Elmohamady</t>
  </si>
  <si>
    <t>Craig Cathcart</t>
  </si>
  <si>
    <t>Ezequiel Schelotto</t>
  </si>
  <si>
    <t>Aaron Cresswell</t>
  </si>
  <si>
    <t>Callum Chambers</t>
  </si>
  <si>
    <t>Sokratis Papastathopoulos</t>
  </si>
  <si>
    <t>Tariq Lamptey</t>
  </si>
  <si>
    <t>Issa Diop</t>
  </si>
  <si>
    <t>John Egan</t>
  </si>
  <si>
    <t>Scott Dann</t>
  </si>
  <si>
    <t>DeAndre Yedlin</t>
  </si>
  <si>
    <t>Jack O'Connell</t>
  </si>
  <si>
    <t>Björn Engels</t>
  </si>
  <si>
    <t>Caglar Söyüncü</t>
  </si>
  <si>
    <t>Enda Stevens</t>
  </si>
  <si>
    <t>Seamus Coleman</t>
  </si>
  <si>
    <t>Ryan Bertrand</t>
  </si>
  <si>
    <t>Oleksandr Zinchenko</t>
  </si>
  <si>
    <t>Fikayo Tomori</t>
  </si>
  <si>
    <t>John Stones</t>
  </si>
  <si>
    <t>Chris Mepham</t>
  </si>
  <si>
    <t>Ciaran Clark</t>
  </si>
  <si>
    <t>João Pedro Cavaco Cancelo</t>
  </si>
  <si>
    <t>Jack Stacey</t>
  </si>
  <si>
    <t>Arthur Masuaku</t>
  </si>
  <si>
    <t>Rúben Gonçalo Silva Nascimento Vinagre</t>
  </si>
  <si>
    <t>Frederic Guilbert</t>
  </si>
  <si>
    <t>Virgil van Dijk</t>
  </si>
  <si>
    <t>Simon Francis</t>
  </si>
  <si>
    <t>Tyrone Mings</t>
  </si>
  <si>
    <t>Benjamin Mendy</t>
  </si>
  <si>
    <t>Javier Manquillo</t>
  </si>
  <si>
    <t>Matt Targett</t>
  </si>
  <si>
    <t>Paul Dummett</t>
  </si>
  <si>
    <t>Granit Xhaka</t>
  </si>
  <si>
    <t>Ibrahim Amadou</t>
  </si>
  <si>
    <t>Christian Atsu</t>
  </si>
  <si>
    <t>Harvey Barnes</t>
  </si>
  <si>
    <t>Declan Rice</t>
  </si>
  <si>
    <t>Andreas Pereira</t>
  </si>
  <si>
    <t>Angel Gomes</t>
  </si>
  <si>
    <t>Aaron Mooy</t>
  </si>
  <si>
    <t>Will Hughes</t>
  </si>
  <si>
    <t>Eric Dier</t>
  </si>
  <si>
    <t>Leandro Trossard</t>
  </si>
  <si>
    <t>Matteo Guendouzi</t>
  </si>
  <si>
    <t>Henri Lansbury</t>
  </si>
  <si>
    <t>Philip Billing</t>
  </si>
  <si>
    <t>Ayoze Pérez Gutiérrez</t>
  </si>
  <si>
    <t>Harvey Elliott</t>
  </si>
  <si>
    <t>Adama Traoré</t>
  </si>
  <si>
    <t>José Ignacio Peleteiro Ramallo</t>
  </si>
  <si>
    <t>Felipe Anderson Pereira Gomes</t>
  </si>
  <si>
    <t>Etienne Capoue</t>
  </si>
  <si>
    <t>Yves Bissouma</t>
  </si>
  <si>
    <t>Callum Robinson</t>
  </si>
  <si>
    <t>Richarlison de Andrade</t>
  </si>
  <si>
    <t>Sofiane Boufal</t>
  </si>
  <si>
    <t>Gylfi Sigurdsson</t>
  </si>
  <si>
    <t>Jairo Riedewald</t>
  </si>
  <si>
    <t>Roberto Pereyra</t>
  </si>
  <si>
    <t>Theo Walcott</t>
  </si>
  <si>
    <t>Mario Vrancic</t>
  </si>
  <si>
    <t>Aaron Lennon</t>
  </si>
  <si>
    <t>Erik Lamela</t>
  </si>
  <si>
    <t>Bernardo Mota Veiga de Carvalho e Silva</t>
  </si>
  <si>
    <t>Muhamed Besic</t>
  </si>
  <si>
    <t>Manuel Lanzini</t>
  </si>
  <si>
    <t>Junior Stanislas</t>
  </si>
  <si>
    <t>Mason Mount</t>
  </si>
  <si>
    <t>James Maddison</t>
  </si>
  <si>
    <t>Ryan Fraser</t>
  </si>
  <si>
    <t>Marco Stiepermann</t>
  </si>
  <si>
    <t>Pablo Fornals</t>
  </si>
  <si>
    <t>John Fleck</t>
  </si>
  <si>
    <t>Mark Noble</t>
  </si>
  <si>
    <t>Jack Grealish</t>
  </si>
  <si>
    <t>Nemanja Matic</t>
  </si>
  <si>
    <t>Harry Wilson</t>
  </si>
  <si>
    <t>Ismaila Sarr</t>
  </si>
  <si>
    <t>Oriol Romeu</t>
  </si>
  <si>
    <t>Brandon Pierrick</t>
  </si>
  <si>
    <t>Kevin De Bruyne</t>
  </si>
  <si>
    <t>Bernard Anício Caldeira Duarte</t>
  </si>
  <si>
    <t>Marc Albrighton</t>
  </si>
  <si>
    <t>Dale Stephens</t>
  </si>
  <si>
    <t>Nathan Redmond</t>
  </si>
  <si>
    <t>Moussa Djenepo</t>
  </si>
  <si>
    <t>Pierre-Emile Højbjerg</t>
  </si>
  <si>
    <t>Tom Trybull</t>
  </si>
  <si>
    <t>Mateo Kovacic</t>
  </si>
  <si>
    <t>Bamidele Alli</t>
  </si>
  <si>
    <t>Mohamed Salah</t>
  </si>
  <si>
    <t>Lucas Rodrigues Moura da Silva</t>
  </si>
  <si>
    <t>Fernando Luiz Rosa</t>
  </si>
  <si>
    <t>Andriy Yarmolenko</t>
  </si>
  <si>
    <t>Mesut Ozil</t>
  </si>
  <si>
    <t>Emiliano Buendía</t>
  </si>
  <si>
    <t>Tom Davies</t>
  </si>
  <si>
    <t>Ben Osborn</t>
  </si>
  <si>
    <t>Jeff Hendrick</t>
  </si>
  <si>
    <t>Scott McTominay</t>
  </si>
  <si>
    <t>Robert Brady</t>
  </si>
  <si>
    <t>Oliver Norwood</t>
  </si>
  <si>
    <t>James Milner</t>
  </si>
  <si>
    <t>Luka Milivojevic</t>
  </si>
  <si>
    <t>Dennis Praet</t>
  </si>
  <si>
    <t>Bukayo Saka</t>
  </si>
  <si>
    <t>Onel Hernández</t>
  </si>
  <si>
    <t>James Ward-Prowse</t>
  </si>
  <si>
    <t>Jorge Luiz Frello Filho</t>
  </si>
  <si>
    <t>Leander Dendoncker</t>
  </si>
  <si>
    <t>Hamza Choudhury</t>
  </si>
  <si>
    <t>Wilfried Zaha</t>
  </si>
  <si>
    <t>Robert Snodgrass</t>
  </si>
  <si>
    <t>Onyinye Wilfred Ndidi</t>
  </si>
  <si>
    <t>Youri Tielemans</t>
  </si>
  <si>
    <t>Raheem Sterling</t>
  </si>
  <si>
    <t>Sean Longstaff</t>
  </si>
  <si>
    <t>Max Meyer</t>
  </si>
  <si>
    <t>Paul Pogba</t>
  </si>
  <si>
    <t>N'Golo Kanté</t>
  </si>
  <si>
    <t>Demarai Gray</t>
  </si>
  <si>
    <t>Georginio Wijnaldum</t>
  </si>
  <si>
    <t>Willian Borges Da Silva</t>
  </si>
  <si>
    <t>Ashley Roy Westwood</t>
  </si>
  <si>
    <t>Douglas Luiz Soares de Paulo</t>
  </si>
  <si>
    <t>Miguel Almirón</t>
  </si>
  <si>
    <t>Alex Iwobi</t>
  </si>
  <si>
    <t>Jonjo Shelvey</t>
  </si>
  <si>
    <t>Naby Keita</t>
  </si>
  <si>
    <t>Giovani Lo Celso</t>
  </si>
  <si>
    <t>João Moutinho</t>
  </si>
  <si>
    <t>Pedro Rodríguez Ledesma</t>
  </si>
  <si>
    <t>Kenneth McLean</t>
  </si>
  <si>
    <t>Luke Freeman</t>
  </si>
  <si>
    <t>Todd Cantwell</t>
  </si>
  <si>
    <t>Pascal Groß</t>
  </si>
  <si>
    <t>Alexander Tettey</t>
  </si>
  <si>
    <t>Davy Pröpper</t>
  </si>
  <si>
    <t>Tanguy NDombele</t>
  </si>
  <si>
    <t>Alex Oxlade-Chamberlain</t>
  </si>
  <si>
    <t>Conor Hourihane</t>
  </si>
  <si>
    <t>Michail Antonio</t>
  </si>
  <si>
    <t>Cheikhou Kouyaté</t>
  </si>
  <si>
    <t>Phil Foden</t>
  </si>
  <si>
    <t>Isaac Hayden</t>
  </si>
  <si>
    <t>Anwar El Ghazi</t>
  </si>
  <si>
    <t>Jesse Lingard</t>
  </si>
  <si>
    <t>Ilkay Gündogan</t>
  </si>
  <si>
    <t>James McArthur</t>
  </si>
  <si>
    <t>Heung-Min Son</t>
  </si>
  <si>
    <t>Dwight McNeil</t>
  </si>
  <si>
    <t>Daniel James</t>
  </si>
  <si>
    <t>Harry Winks</t>
  </si>
  <si>
    <t>Domingos Quina</t>
  </si>
  <si>
    <t>Alireza Jahanbakhsh</t>
  </si>
  <si>
    <t>Nathaniel Chalobah</t>
  </si>
  <si>
    <t>James McCarthy</t>
  </si>
  <si>
    <t>Riyad Mahrez</t>
  </si>
  <si>
    <t>Carlos Sánchez</t>
  </si>
  <si>
    <t>Christian Pulisic</t>
  </si>
  <si>
    <t>Reiss Nelson</t>
  </si>
  <si>
    <t>John McGinn</t>
  </si>
  <si>
    <t>Matthew Longstaff</t>
  </si>
  <si>
    <t>David Silva</t>
  </si>
  <si>
    <t>Anthony Martial</t>
  </si>
  <si>
    <t>Daniel Drinkwater</t>
  </si>
  <si>
    <t>Lucas Torreira</t>
  </si>
  <si>
    <t>Frederico Rodrigues de Paula Santos</t>
  </si>
  <si>
    <t>Jefferson Lerma</t>
  </si>
  <si>
    <t>Callum Hudson-Odoi</t>
  </si>
  <si>
    <t>Jordan Henderson</t>
  </si>
  <si>
    <t>Nampalys Mendy</t>
  </si>
  <si>
    <t>Marvelous Nakamba</t>
  </si>
  <si>
    <t>Jack Cork</t>
  </si>
  <si>
    <t>Xherdan Shaqiri</t>
  </si>
  <si>
    <t>Sadio Mane</t>
  </si>
  <si>
    <t>Kouassi Ryan Sessegnon</t>
  </si>
  <si>
    <t>Dan Gosling</t>
  </si>
  <si>
    <t>Rúben Diogo da Silva Neves</t>
  </si>
  <si>
    <t>Fabian Delph</t>
  </si>
  <si>
    <t>Joseph Willock</t>
  </si>
  <si>
    <t>Juan Mata</t>
  </si>
  <si>
    <t>Rodrigo Hernández Cascante</t>
  </si>
  <si>
    <t>Stuart Armstrong</t>
  </si>
  <si>
    <t>Steven Alzate</t>
  </si>
  <si>
    <t>Lewis Cook</t>
  </si>
  <si>
    <t>Johann Berg Gudmundsson</t>
  </si>
  <si>
    <t>Mahmoud Hassan</t>
  </si>
  <si>
    <t>Moussa Sissoko</t>
  </si>
  <si>
    <t>Ross Barkley</t>
  </si>
  <si>
    <t>Nicolas Pepe</t>
  </si>
  <si>
    <t>Christian Eriksen</t>
  </si>
  <si>
    <t>Abdoulaye Doucouré</t>
  </si>
  <si>
    <t>Emile Smith-Rowe</t>
  </si>
  <si>
    <t>Adam Lallana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</si>
</sst>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28005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28005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19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25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19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19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19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applyNumberFormat="true" numFmtId="165" fillId="19" applyFill="true">
      <alignment horizontal="left" vertical="center"/>
    </xf>
    <xf fontId="4214" applyFont="true" borderId="8" applyBorder="true" applyNumberFormat="true" numFmtId="165" fillId="22" applyFill="true">
      <alignment horizontal="center" vertical="center"/>
    </xf>
    <xf fontId="4215" applyFont="true" borderId="8" applyBorder="true" applyNumberFormat="true" numFmtId="166" fillId="22" applyFill="true">
      <alignment horizontal="center" vertical="center"/>
    </xf>
    <xf fontId="4216" applyFont="true" borderId="8" applyBorder="true" applyNumberFormat="true" numFmtId="1" fillId="22" applyFill="true">
      <alignment horizontal="center" vertical="center"/>
    </xf>
    <xf fontId="4217" applyFont="true" borderId="8" applyBorder="true" applyNumberFormat="true" numFmtId="1" fillId="22" applyFill="true">
      <alignment horizontal="center" vertical="center"/>
    </xf>
    <xf fontId="4218" applyFont="true" borderId="8" applyBorder="true" applyNumberFormat="true" numFmtId="1" fillId="22" applyFill="true">
      <alignment horizontal="center" vertical="center"/>
    </xf>
    <xf fontId="4219" applyFont="true" borderId="8" applyBorder="true" applyNumberFormat="true" numFmtId="1" fillId="22" applyFill="true">
      <alignment horizontal="center" vertical="center"/>
    </xf>
    <xf fontId="4220" applyFont="true" borderId="8" applyBorder="true" applyNumberFormat="true" numFmtId="1" fillId="22" applyFill="true">
      <alignment horizontal="center" vertical="center"/>
    </xf>
    <xf fontId="4221" applyFont="true" borderId="8" applyBorder="true" applyNumberFormat="true" numFmtId="1" fillId="22" applyFill="true">
      <alignment horizontal="center" vertical="center"/>
    </xf>
    <xf fontId="4222" applyFont="true" borderId="8" applyBorder="true" applyNumberFormat="true" numFmtId="1" fillId="22" applyFill="true">
      <alignment horizontal="center" vertical="center"/>
    </xf>
    <xf fontId="4223" applyFont="true" borderId="8" applyBorder="true" applyNumberFormat="true" numFmtId="165" fillId="22" applyFill="true">
      <alignment horizontal="center" vertical="center"/>
    </xf>
    <xf fontId="4224" applyFont="true" borderId="8" applyBorder="true" applyNumberFormat="true" numFmtId="165" fillId="22" applyFill="true">
      <alignment horizontal="center" vertical="center"/>
    </xf>
    <xf fontId="4225" applyFont="true" borderId="8" applyBorder="true" applyNumberFormat="true" numFmtId="1" fillId="22" applyFill="true">
      <alignment horizontal="center" vertical="center"/>
    </xf>
    <xf fontId="4226" applyFont="true" borderId="8" applyBorder="true" applyNumberFormat="true" numFmtId="1" fillId="22" applyFill="true">
      <alignment horizontal="center" vertical="center"/>
    </xf>
    <xf fontId="4227" applyFont="true" borderId="8" applyBorder="true" applyNumberFormat="true" numFmtId="1" fillId="22" applyFill="true">
      <alignment horizontal="center" vertical="center"/>
    </xf>
    <xf fontId="4228" applyFont="true" borderId="8" applyBorder="true" applyNumberFormat="true" numFmtId="167" fillId="22" applyFill="true">
      <alignment horizontal="center" vertical="center"/>
    </xf>
    <xf fontId="4229" applyFont="true" borderId="8" applyBorder="true" applyNumberFormat="true" numFmtId="1" fillId="22" applyFill="true">
      <alignment horizontal="center" vertical="center"/>
    </xf>
    <xf fontId="4230" applyFont="true" borderId="8" applyBorder="true" applyNumberFormat="true" numFmtId="167" fillId="22" applyFill="true">
      <alignment horizontal="center" vertical="center"/>
    </xf>
    <xf fontId="4231" applyFont="true" borderId="8" applyBorder="true" applyNumberFormat="true" numFmtId="1" fillId="22" applyFill="true">
      <alignment horizontal="center" vertical="center"/>
    </xf>
    <xf fontId="4232" applyFont="true" borderId="8" applyBorder="true" applyNumberFormat="true" numFmtId="167" fillId="22" applyFill="true">
      <alignment horizontal="center" vertical="center"/>
    </xf>
    <xf fontId="4233" applyFont="true" borderId="8" applyBorder="true" applyNumberFormat="true" numFmtId="1" fillId="22" applyFill="true">
      <alignment horizontal="center" vertical="center"/>
    </xf>
    <xf fontId="4234" applyFont="true" borderId="8" applyBorder="true" applyNumberFormat="true" numFmtId="167" fillId="22" applyFill="true">
      <alignment horizontal="center" vertical="center"/>
    </xf>
    <xf fontId="4235" applyFont="true" borderId="8" applyBorder="true" applyNumberFormat="true" numFmtId="167" fillId="22" applyFill="true">
      <alignment horizontal="center" vertical="center"/>
    </xf>
    <xf fontId="4236" applyFont="true" borderId="8" applyBorder="true" applyNumberFormat="true" numFmtId="1" fillId="22" applyFill="true">
      <alignment horizontal="center" vertical="center"/>
    </xf>
    <xf fontId="4237" applyFont="true" borderId="8" applyBorder="true" applyNumberFormat="true" numFmtId="1" fillId="22" applyFill="true">
      <alignment horizontal="center" vertical="center"/>
    </xf>
    <xf fontId="4238" applyFont="true" borderId="8" applyBorder="true" applyNumberFormat="true" numFmtId="1" fillId="22" applyFill="true">
      <alignment horizontal="center" vertical="center"/>
    </xf>
    <xf fontId="4239" applyFont="true" borderId="8" applyBorder="true" applyNumberFormat="true" numFmtId="167" fillId="22" applyFill="true">
      <alignment horizontal="center" vertical="center"/>
    </xf>
    <xf fontId="4240" applyFont="true" borderId="8" applyBorder="true" applyNumberFormat="true" numFmtId="166" fillId="22" applyFill="true">
      <alignment horizontal="center" vertical="center"/>
    </xf>
    <xf fontId="4241" applyFont="true" borderId="8" applyBorder="true" applyNumberFormat="true" numFmtId="166" fillId="22" applyFill="true">
      <alignment horizontal="center" vertical="center"/>
    </xf>
    <xf fontId="4242" applyFont="true" borderId="8" applyBorder="true" applyNumberFormat="true" numFmtId="1" fillId="22" applyFill="true">
      <alignment horizontal="center" vertical="center"/>
    </xf>
    <xf fontId="4243" applyFont="true" borderId="8" applyBorder="true" applyNumberFormat="true" numFmtId="1" fillId="22" applyFill="true">
      <alignment horizontal="center" vertical="center"/>
    </xf>
    <xf fontId="4244" applyFont="true" borderId="8" applyBorder="true" applyNumberFormat="true" numFmtId="1" fillId="22" applyFill="true">
      <alignment horizontal="center" vertical="center"/>
    </xf>
    <xf fontId="4245" applyFont="true" borderId="8" applyBorder="true" applyNumberFormat="true" numFmtId="167" fillId="22" applyFill="true">
      <alignment horizontal="center" vertical="center"/>
    </xf>
    <xf fontId="4246" applyFont="true" borderId="8" applyBorder="true" applyNumberFormat="true" numFmtId="1" fillId="22" applyFill="true">
      <alignment horizontal="center" vertical="center"/>
    </xf>
    <xf fontId="4247" applyFont="true" borderId="8" applyBorder="true" applyNumberFormat="true" numFmtId="167" fillId="22" applyFill="true">
      <alignment horizontal="center" vertical="center"/>
    </xf>
    <xf fontId="4248" applyFont="true" borderId="8" applyBorder="true" applyNumberFormat="true" numFmtId="1" fillId="22" applyFill="true">
      <alignment horizontal="center" vertical="center"/>
    </xf>
    <xf fontId="4249" applyFont="true" borderId="8" applyBorder="true" applyNumberFormat="true" numFmtId="1" fillId="22" applyFill="true">
      <alignment horizontal="center" vertical="center"/>
    </xf>
    <xf fontId="4250" applyFont="true" borderId="8" applyBorder="true" applyNumberFormat="true" numFmtId="1" fillId="22" applyFill="true">
      <alignment horizontal="center" vertical="center"/>
    </xf>
    <xf fontId="4251" applyFont="true" borderId="8" applyBorder="true" applyNumberFormat="true" numFmtId="1" fillId="22" applyFill="true">
      <alignment horizontal="center" vertical="center"/>
    </xf>
    <xf fontId="4252" applyFont="true" borderId="8" applyBorder="true" applyNumberFormat="true" numFmtId="167" fillId="22" applyFill="true">
      <alignment horizontal="center" vertical="center"/>
    </xf>
    <xf fontId="4253" applyFont="true" borderId="8" applyBorder="true" applyNumberFormat="true" numFmtId="1" fillId="22" applyFill="true">
      <alignment horizontal="center" vertical="center"/>
    </xf>
    <xf fontId="4254" applyFont="true" borderId="8" applyBorder="true" applyNumberFormat="true" numFmtId="167" fillId="22" applyFill="true">
      <alignment horizontal="center" vertical="center"/>
    </xf>
    <xf fontId="4255" applyFont="true" borderId="8" applyBorder="true" applyNumberFormat="true" numFmtId="1" fillId="22" applyFill="true">
      <alignment horizontal="center" vertical="center"/>
    </xf>
    <xf fontId="4256" applyFont="true" borderId="8" applyBorder="true" applyNumberFormat="true" numFmtId="167" fillId="22" applyFill="true">
      <alignment horizontal="center" vertical="center"/>
    </xf>
    <xf fontId="4257" applyFont="true" borderId="8" applyBorder="true" applyNumberFormat="true" numFmtId="2" fillId="22" applyFill="true">
      <alignment horizontal="center" vertical="center"/>
    </xf>
    <xf fontId="4258" applyFont="true" borderId="8" applyBorder="true" applyNumberFormat="true" numFmtId="2" fillId="22" applyFill="true">
      <alignment horizontal="center" vertical="center"/>
    </xf>
    <xf fontId="4259" applyFont="true" borderId="8" applyBorder="true" applyNumberFormat="true" numFmtId="2" fillId="22" applyFill="true">
      <alignment horizontal="center" vertical="center"/>
    </xf>
    <xf fontId="4260" applyFont="true" borderId="8" applyBorder="true" applyNumberFormat="true" numFmtId="2" fillId="22" applyFill="true">
      <alignment horizontal="center" vertical="center"/>
    </xf>
    <xf fontId="4261" applyFont="true" borderId="8" applyBorder="true" applyNumberFormat="true" numFmtId="2" fillId="22" applyFill="true">
      <alignment horizontal="center" vertical="center"/>
    </xf>
    <xf fontId="4262" applyFont="true" borderId="8" applyBorder="true" applyNumberFormat="true" numFmtId="2" fillId="22" applyFill="true">
      <alignment horizontal="center" vertical="center"/>
    </xf>
    <xf fontId="4263" applyFont="true" borderId="8" applyBorder="true" applyNumberFormat="true" numFmtId="2" fillId="22" applyFill="true">
      <alignment horizontal="center" vertical="center"/>
    </xf>
    <xf fontId="4264" applyFont="true" borderId="8" applyBorder="true" applyNumberFormat="true" numFmtId="2" fillId="22" applyFill="true">
      <alignment horizontal="center" vertical="center"/>
    </xf>
    <xf fontId="4265" applyFont="true" borderId="8" applyBorder="true" applyNumberFormat="true" numFmtId="2" fillId="22" applyFill="true">
      <alignment horizontal="center" vertical="center"/>
    </xf>
    <xf fontId="4266" applyFont="true" borderId="8" applyBorder="true" applyNumberFormat="true" numFmtId="2" fillId="22" applyFill="true">
      <alignment horizontal="center" vertical="center"/>
    </xf>
    <xf fontId="4267" applyFont="true" borderId="8" applyBorder="true" applyNumberFormat="true" numFmtId="2" fillId="22" applyFill="true">
      <alignment horizontal="center" vertical="center"/>
    </xf>
    <xf fontId="4268" applyFont="true" borderId="8" applyBorder="true" applyNumberFormat="true" numFmtId="2" fillId="22" applyFill="true">
      <alignment horizontal="center" vertical="center"/>
    </xf>
    <xf fontId="4269" applyFont="true" borderId="8" applyBorder="true" applyNumberFormat="true" numFmtId="2" fillId="22" applyFill="true">
      <alignment horizontal="center" vertical="center"/>
    </xf>
    <xf fontId="4270" applyFont="true" borderId="8" applyBorder="true" applyNumberFormat="true" numFmtId="2" fillId="22" applyFill="true">
      <alignment horizontal="center" vertical="center"/>
    </xf>
    <xf fontId="4271" applyFont="true" borderId="8" applyBorder="true" applyNumberFormat="true" numFmtId="2" fillId="22" applyFill="true">
      <alignment horizontal="center" vertical="center"/>
    </xf>
    <xf fontId="4272" applyFont="true" borderId="8" applyBorder="true" applyNumberFormat="true" numFmtId="2" fillId="22" applyFill="true">
      <alignment horizontal="center" vertical="center"/>
    </xf>
    <xf fontId="4273" applyFont="true" borderId="8" applyBorder="true" applyNumberFormat="true" numFmtId="2" fillId="22" applyFill="true">
      <alignment horizontal="center" vertical="center"/>
    </xf>
    <xf fontId="4274" applyFont="true" borderId="8" applyBorder="true" applyNumberFormat="true" numFmtId="2" fillId="22" applyFill="true">
      <alignment horizontal="center" vertical="center"/>
    </xf>
    <xf fontId="4275" applyFont="true" borderId="8" applyBorder="true" applyNumberFormat="true" numFmtId="2" fillId="22" applyFill="true">
      <alignment horizontal="center" vertical="center"/>
    </xf>
    <xf fontId="4276" applyFont="true" borderId="8" applyBorder="true" applyNumberFormat="true" numFmtId="2" fillId="22" applyFill="true">
      <alignment horizontal="center" vertical="center"/>
    </xf>
    <xf fontId="4277" applyFont="true" borderId="8" applyBorder="true" applyNumberFormat="true" numFmtId="2" fillId="22" applyFill="true">
      <alignment horizontal="center" vertical="center"/>
    </xf>
    <xf fontId="4278" applyFont="true" borderId="8" applyBorder="true" applyNumberFormat="true" numFmtId="2" fillId="22" applyFill="true">
      <alignment horizontal="center" vertical="center"/>
    </xf>
    <xf fontId="4279" applyFont="true" borderId="8" applyBorder="true" applyNumberFormat="true" numFmtId="2" fillId="22" applyFill="true">
      <alignment horizontal="center" vertical="center"/>
    </xf>
    <xf fontId="4280" applyFont="true" borderId="8" applyBorder="true" applyNumberFormat="true" numFmtId="2" fillId="22" applyFill="true">
      <alignment horizontal="center" vertical="center"/>
    </xf>
    <xf fontId="4281" applyFont="true" borderId="8" applyBorder="true" applyNumberFormat="true" numFmtId="2" fillId="22" applyFill="true">
      <alignment horizontal="center" vertical="center"/>
    </xf>
    <xf fontId="4282" applyFont="true" borderId="8" applyBorder="true" applyNumberFormat="true" numFmtId="2" fillId="22" applyFill="true">
      <alignment horizontal="center" vertical="center"/>
    </xf>
    <xf fontId="4283" applyFont="true" borderId="8" applyBorder="true" applyNumberFormat="true" numFmtId="2" fillId="22" applyFill="true">
      <alignment horizontal="center" vertical="center"/>
    </xf>
    <xf fontId="4284" applyFont="true" borderId="8" applyBorder="true" applyNumberFormat="true" numFmtId="2" fillId="22" applyFill="true">
      <alignment horizontal="center" vertical="center"/>
    </xf>
    <xf fontId="4285" applyFont="true" borderId="8" applyBorder="true" applyNumberFormat="true" numFmtId="2" fillId="22" applyFill="true">
      <alignment horizontal="center" vertical="center"/>
    </xf>
    <xf fontId="4286" applyFont="true" borderId="8" applyBorder="true" applyNumberFormat="true" numFmtId="2" fillId="22" applyFill="true">
      <alignment horizontal="center" vertical="center"/>
    </xf>
    <xf fontId="4287" applyFont="true" borderId="8" applyBorder="true" applyNumberFormat="true" numFmtId="2" fillId="22" applyFill="true">
      <alignment horizontal="center" vertical="center"/>
    </xf>
    <xf fontId="4288" applyFont="true" borderId="8" applyBorder="true" applyNumberFormat="true" numFmtId="2" fillId="22" applyFill="true">
      <alignment horizontal="center" vertical="center"/>
    </xf>
    <xf fontId="4289" applyFont="true" borderId="8" applyBorder="true" applyNumberFormat="true" numFmtId="2" fillId="22" applyFill="true">
      <alignment horizontal="center" vertical="center"/>
    </xf>
    <xf fontId="4290" applyFont="true" borderId="8" applyBorder="true" applyNumberFormat="true" numFmtId="2" fillId="22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applyNumberFormat="true" numFmtId="165" fillId="19" applyFill="true">
      <alignment horizontal="left" vertical="center"/>
    </xf>
    <xf fontId="4526" applyFont="true" borderId="8" applyBorder="true" applyNumberFormat="true" numFmtId="165" fillId="22" applyFill="true">
      <alignment horizontal="center" vertical="center"/>
    </xf>
    <xf fontId="4527" applyFont="true" borderId="8" applyBorder="true" applyNumberFormat="true" numFmtId="166" fillId="22" applyFill="true">
      <alignment horizontal="center" vertical="center"/>
    </xf>
    <xf fontId="4528" applyFont="true" borderId="8" applyBorder="true" applyNumberFormat="true" numFmtId="1" fillId="22" applyFill="true">
      <alignment horizontal="center" vertical="center"/>
    </xf>
    <xf fontId="4529" applyFont="true" borderId="8" applyBorder="true" applyNumberFormat="true" numFmtId="1" fillId="22" applyFill="true">
      <alignment horizontal="center" vertical="center"/>
    </xf>
    <xf fontId="4530" applyFont="true" borderId="8" applyBorder="true" applyNumberFormat="true" numFmtId="1" fillId="22" applyFill="true">
      <alignment horizontal="center" vertical="center"/>
    </xf>
    <xf fontId="4531" applyFont="true" borderId="8" applyBorder="true" applyNumberFormat="true" numFmtId="1" fillId="22" applyFill="true">
      <alignment horizontal="center" vertical="center"/>
    </xf>
    <xf fontId="4532" applyFont="true" borderId="8" applyBorder="true" applyNumberFormat="true" numFmtId="1" fillId="22" applyFill="true">
      <alignment horizontal="center" vertical="center"/>
    </xf>
    <xf fontId="4533" applyFont="true" borderId="8" applyBorder="true" applyNumberFormat="true" numFmtId="1" fillId="22" applyFill="true">
      <alignment horizontal="center" vertical="center"/>
    </xf>
    <xf fontId="4534" applyFont="true" borderId="8" applyBorder="true" applyNumberFormat="true" numFmtId="1" fillId="22" applyFill="true">
      <alignment horizontal="center" vertical="center"/>
    </xf>
    <xf fontId="4535" applyFont="true" borderId="8" applyBorder="true" applyNumberFormat="true" numFmtId="165" fillId="22" applyFill="true">
      <alignment horizontal="center" vertical="center"/>
    </xf>
    <xf fontId="4536" applyFont="true" borderId="8" applyBorder="true" applyNumberFormat="true" numFmtId="165" fillId="22" applyFill="true">
      <alignment horizontal="center" vertical="center"/>
    </xf>
    <xf fontId="4537" applyFont="true" borderId="8" applyBorder="true" applyNumberFormat="true" numFmtId="1" fillId="22" applyFill="true">
      <alignment horizontal="center" vertical="center"/>
    </xf>
    <xf fontId="4538" applyFont="true" borderId="8" applyBorder="true" applyNumberFormat="true" numFmtId="1" fillId="22" applyFill="true">
      <alignment horizontal="center" vertical="center"/>
    </xf>
    <xf fontId="4539" applyFont="true" borderId="8" applyBorder="true" applyNumberFormat="true" numFmtId="1" fillId="22" applyFill="true">
      <alignment horizontal="center" vertical="center"/>
    </xf>
    <xf fontId="4540" applyFont="true" borderId="8" applyBorder="true" applyNumberFormat="true" numFmtId="167" fillId="22" applyFill="true">
      <alignment horizontal="center" vertical="center"/>
    </xf>
    <xf fontId="4541" applyFont="true" borderId="8" applyBorder="true" applyNumberFormat="true" numFmtId="1" fillId="22" applyFill="true">
      <alignment horizontal="center" vertical="center"/>
    </xf>
    <xf fontId="4542" applyFont="true" borderId="8" applyBorder="true" applyNumberFormat="true" numFmtId="167" fillId="22" applyFill="true">
      <alignment horizontal="center" vertical="center"/>
    </xf>
    <xf fontId="4543" applyFont="true" borderId="8" applyBorder="true" applyNumberFormat="true" numFmtId="1" fillId="22" applyFill="true">
      <alignment horizontal="center" vertical="center"/>
    </xf>
    <xf fontId="4544" applyFont="true" borderId="8" applyBorder="true" applyNumberFormat="true" numFmtId="167" fillId="22" applyFill="true">
      <alignment horizontal="center" vertical="center"/>
    </xf>
    <xf fontId="4545" applyFont="true" borderId="8" applyBorder="true" applyNumberFormat="true" numFmtId="1" fillId="22" applyFill="true">
      <alignment horizontal="center" vertical="center"/>
    </xf>
    <xf fontId="4546" applyFont="true" borderId="8" applyBorder="true" applyNumberFormat="true" numFmtId="167" fillId="22" applyFill="true">
      <alignment horizontal="center" vertical="center"/>
    </xf>
    <xf fontId="4547" applyFont="true" borderId="8" applyBorder="true" applyNumberFormat="true" numFmtId="167" fillId="22" applyFill="true">
      <alignment horizontal="center" vertical="center"/>
    </xf>
    <xf fontId="4548" applyFont="true" borderId="8" applyBorder="true" applyNumberFormat="true" numFmtId="1" fillId="22" applyFill="true">
      <alignment horizontal="center" vertical="center"/>
    </xf>
    <xf fontId="4549" applyFont="true" borderId="8" applyBorder="true" applyNumberFormat="true" numFmtId="1" fillId="22" applyFill="true">
      <alignment horizontal="center" vertical="center"/>
    </xf>
    <xf fontId="4550" applyFont="true" borderId="8" applyBorder="true" applyNumberFormat="true" numFmtId="1" fillId="22" applyFill="true">
      <alignment horizontal="center" vertical="center"/>
    </xf>
    <xf fontId="4551" applyFont="true" borderId="8" applyBorder="true" applyNumberFormat="true" numFmtId="167" fillId="22" applyFill="true">
      <alignment horizontal="center" vertical="center"/>
    </xf>
    <xf fontId="4552" applyFont="true" borderId="8" applyBorder="true" applyNumberFormat="true" numFmtId="166" fillId="22" applyFill="true">
      <alignment horizontal="center" vertical="center"/>
    </xf>
    <xf fontId="4553" applyFont="true" borderId="8" applyBorder="true" applyNumberFormat="true" numFmtId="166" fillId="22" applyFill="true">
      <alignment horizontal="center" vertical="center"/>
    </xf>
    <xf fontId="4554" applyFont="true" borderId="8" applyBorder="true" applyNumberFormat="true" numFmtId="1" fillId="22" applyFill="true">
      <alignment horizontal="center" vertical="center"/>
    </xf>
    <xf fontId="4555" applyFont="true" borderId="8" applyBorder="true" applyNumberFormat="true" numFmtId="1" fillId="22" applyFill="true">
      <alignment horizontal="center" vertical="center"/>
    </xf>
    <xf fontId="4556" applyFont="true" borderId="8" applyBorder="true" applyNumberFormat="true" numFmtId="1" fillId="22" applyFill="true">
      <alignment horizontal="center" vertical="center"/>
    </xf>
    <xf fontId="4557" applyFont="true" borderId="8" applyBorder="true" applyNumberFormat="true" numFmtId="167" fillId="22" applyFill="true">
      <alignment horizontal="center" vertical="center"/>
    </xf>
    <xf fontId="4558" applyFont="true" borderId="8" applyBorder="true" applyNumberFormat="true" numFmtId="1" fillId="22" applyFill="true">
      <alignment horizontal="center" vertical="center"/>
    </xf>
    <xf fontId="4559" applyFont="true" borderId="8" applyBorder="true" applyNumberFormat="true" numFmtId="167" fillId="22" applyFill="true">
      <alignment horizontal="center" vertical="center"/>
    </xf>
    <xf fontId="4560" applyFont="true" borderId="8" applyBorder="true" applyNumberFormat="true" numFmtId="1" fillId="22" applyFill="true">
      <alignment horizontal="center" vertical="center"/>
    </xf>
    <xf fontId="4561" applyFont="true" borderId="8" applyBorder="true" applyNumberFormat="true" numFmtId="1" fillId="22" applyFill="true">
      <alignment horizontal="center" vertical="center"/>
    </xf>
    <xf fontId="4562" applyFont="true" borderId="8" applyBorder="true" applyNumberFormat="true" numFmtId="1" fillId="22" applyFill="true">
      <alignment horizontal="center" vertical="center"/>
    </xf>
    <xf fontId="4563" applyFont="true" borderId="8" applyBorder="true" applyNumberFormat="true" numFmtId="1" fillId="22" applyFill="true">
      <alignment horizontal="center" vertical="center"/>
    </xf>
    <xf fontId="4564" applyFont="true" borderId="8" applyBorder="true" applyNumberFormat="true" numFmtId="167" fillId="22" applyFill="true">
      <alignment horizontal="center" vertical="center"/>
    </xf>
    <xf fontId="4565" applyFont="true" borderId="8" applyBorder="true" applyNumberFormat="true" numFmtId="1" fillId="22" applyFill="true">
      <alignment horizontal="center" vertical="center"/>
    </xf>
    <xf fontId="4566" applyFont="true" borderId="8" applyBorder="true" applyNumberFormat="true" numFmtId="167" fillId="22" applyFill="true">
      <alignment horizontal="center" vertical="center"/>
    </xf>
    <xf fontId="4567" applyFont="true" borderId="8" applyBorder="true" applyNumberFormat="true" numFmtId="1" fillId="22" applyFill="true">
      <alignment horizontal="center" vertical="center"/>
    </xf>
    <xf fontId="4568" applyFont="true" borderId="8" applyBorder="true" applyNumberFormat="true" numFmtId="167" fillId="22" applyFill="true">
      <alignment horizontal="center" vertical="center"/>
    </xf>
    <xf fontId="4569" applyFont="true" borderId="8" applyBorder="true" applyNumberFormat="true" numFmtId="2" fillId="22" applyFill="true">
      <alignment horizontal="center" vertical="center"/>
    </xf>
    <xf fontId="4570" applyFont="true" borderId="8" applyBorder="true" applyNumberFormat="true" numFmtId="2" fillId="22" applyFill="true">
      <alignment horizontal="center" vertical="center"/>
    </xf>
    <xf fontId="4571" applyFont="true" borderId="8" applyBorder="true" applyNumberFormat="true" numFmtId="2" fillId="22" applyFill="true">
      <alignment horizontal="center" vertical="center"/>
    </xf>
    <xf fontId="4572" applyFont="true" borderId="8" applyBorder="true" applyNumberFormat="true" numFmtId="2" fillId="22" applyFill="true">
      <alignment horizontal="center" vertical="center"/>
    </xf>
    <xf fontId="4573" applyFont="true" borderId="8" applyBorder="true" applyNumberFormat="true" numFmtId="2" fillId="22" applyFill="true">
      <alignment horizontal="center" vertical="center"/>
    </xf>
    <xf fontId="4574" applyFont="true" borderId="8" applyBorder="true" applyNumberFormat="true" numFmtId="2" fillId="22" applyFill="true">
      <alignment horizontal="center" vertical="center"/>
    </xf>
    <xf fontId="4575" applyFont="true" borderId="8" applyBorder="true" applyNumberFormat="true" numFmtId="2" fillId="22" applyFill="true">
      <alignment horizontal="center" vertical="center"/>
    </xf>
    <xf fontId="4576" applyFont="true" borderId="8" applyBorder="true" applyNumberFormat="true" numFmtId="2" fillId="22" applyFill="true">
      <alignment horizontal="center" vertical="center"/>
    </xf>
    <xf fontId="4577" applyFont="true" borderId="8" applyBorder="true" applyNumberFormat="true" numFmtId="2" fillId="22" applyFill="true">
      <alignment horizontal="center" vertical="center"/>
    </xf>
    <xf fontId="4578" applyFont="true" borderId="8" applyBorder="true" applyNumberFormat="true" numFmtId="2" fillId="22" applyFill="true">
      <alignment horizontal="center" vertical="center"/>
    </xf>
    <xf fontId="4579" applyFont="true" borderId="8" applyBorder="true" applyNumberFormat="true" numFmtId="2" fillId="22" applyFill="true">
      <alignment horizontal="center" vertical="center"/>
    </xf>
    <xf fontId="4580" applyFont="true" borderId="8" applyBorder="true" applyNumberFormat="true" numFmtId="2" fillId="22" applyFill="true">
      <alignment horizontal="center" vertical="center"/>
    </xf>
    <xf fontId="4581" applyFont="true" borderId="8" applyBorder="true" applyNumberFormat="true" numFmtId="2" fillId="22" applyFill="true">
      <alignment horizontal="center" vertical="center"/>
    </xf>
    <xf fontId="4582" applyFont="true" borderId="8" applyBorder="true" applyNumberFormat="true" numFmtId="2" fillId="22" applyFill="true">
      <alignment horizontal="center" vertical="center"/>
    </xf>
    <xf fontId="4583" applyFont="true" borderId="8" applyBorder="true" applyNumberFormat="true" numFmtId="2" fillId="22" applyFill="true">
      <alignment horizontal="center" vertical="center"/>
    </xf>
    <xf fontId="4584" applyFont="true" borderId="8" applyBorder="true" applyNumberFormat="true" numFmtId="2" fillId="22" applyFill="true">
      <alignment horizontal="center" vertical="center"/>
    </xf>
    <xf fontId="4585" applyFont="true" borderId="8" applyBorder="true" applyNumberFormat="true" numFmtId="2" fillId="22" applyFill="true">
      <alignment horizontal="center" vertical="center"/>
    </xf>
    <xf fontId="4586" applyFont="true" borderId="8" applyBorder="true" applyNumberFormat="true" numFmtId="2" fillId="22" applyFill="true">
      <alignment horizontal="center" vertical="center"/>
    </xf>
    <xf fontId="4587" applyFont="true" borderId="8" applyBorder="true" applyNumberFormat="true" numFmtId="2" fillId="22" applyFill="true">
      <alignment horizontal="center" vertical="center"/>
    </xf>
    <xf fontId="4588" applyFont="true" borderId="8" applyBorder="true" applyNumberFormat="true" numFmtId="2" fillId="22" applyFill="true">
      <alignment horizontal="center" vertical="center"/>
    </xf>
    <xf fontId="4589" applyFont="true" borderId="8" applyBorder="true" applyNumberFormat="true" numFmtId="2" fillId="22" applyFill="true">
      <alignment horizontal="center" vertical="center"/>
    </xf>
    <xf fontId="4590" applyFont="true" borderId="8" applyBorder="true" applyNumberFormat="true" numFmtId="2" fillId="22" applyFill="true">
      <alignment horizontal="center" vertical="center"/>
    </xf>
    <xf fontId="4591" applyFont="true" borderId="8" applyBorder="true" applyNumberFormat="true" numFmtId="2" fillId="22" applyFill="true">
      <alignment horizontal="center" vertical="center"/>
    </xf>
    <xf fontId="4592" applyFont="true" borderId="8" applyBorder="true" applyNumberFormat="true" numFmtId="2" fillId="22" applyFill="true">
      <alignment horizontal="center" vertical="center"/>
    </xf>
    <xf fontId="4593" applyFont="true" borderId="8" applyBorder="true" applyNumberFormat="true" numFmtId="2" fillId="22" applyFill="true">
      <alignment horizontal="center" vertical="center"/>
    </xf>
    <xf fontId="4594" applyFont="true" borderId="8" applyBorder="true" applyNumberFormat="true" numFmtId="2" fillId="22" applyFill="true">
      <alignment horizontal="center" vertical="center"/>
    </xf>
    <xf fontId="4595" applyFont="true" borderId="8" applyBorder="true" applyNumberFormat="true" numFmtId="2" fillId="22" applyFill="true">
      <alignment horizontal="center" vertical="center"/>
    </xf>
    <xf fontId="4596" applyFont="true" borderId="8" applyBorder="true" applyNumberFormat="true" numFmtId="2" fillId="22" applyFill="true">
      <alignment horizontal="center" vertical="center"/>
    </xf>
    <xf fontId="4597" applyFont="true" borderId="8" applyBorder="true" applyNumberFormat="true" numFmtId="2" fillId="22" applyFill="true">
      <alignment horizontal="center" vertical="center"/>
    </xf>
    <xf fontId="4598" applyFont="true" borderId="8" applyBorder="true" applyNumberFormat="true" numFmtId="2" fillId="22" applyFill="true">
      <alignment horizontal="center" vertical="center"/>
    </xf>
    <xf fontId="4599" applyFont="true" borderId="8" applyBorder="true" applyNumberFormat="true" numFmtId="2" fillId="22" applyFill="true">
      <alignment horizontal="center" vertical="center"/>
    </xf>
    <xf fontId="4600" applyFont="true" borderId="8" applyBorder="true" applyNumberFormat="true" numFmtId="2" fillId="22" applyFill="true">
      <alignment horizontal="center" vertical="center"/>
    </xf>
    <xf fontId="4601" applyFont="true" borderId="8" applyBorder="true" applyNumberFormat="true" numFmtId="2" fillId="22" applyFill="true">
      <alignment horizontal="center" vertical="center"/>
    </xf>
    <xf fontId="4602" applyFont="true" borderId="8" applyBorder="true" applyNumberFormat="true" numFmtId="2" fillId="22" applyFill="true">
      <alignment horizontal="center" vertical="center"/>
    </xf>
    <xf fontId="4603" applyFont="true" borderId="8" applyBorder="true" applyNumberFormat="true" numFmtId="165" fillId="19" applyFill="true">
      <alignment horizontal="left" vertical="center"/>
    </xf>
    <xf fontId="4604" applyFont="true" borderId="8" applyBorder="true" applyNumberFormat="true" numFmtId="165" fillId="22" applyFill="true">
      <alignment horizontal="center" vertical="center"/>
    </xf>
    <xf fontId="4605" applyFont="true" borderId="8" applyBorder="true" applyNumberFormat="true" numFmtId="166" fillId="22" applyFill="true">
      <alignment horizontal="center" vertical="center"/>
    </xf>
    <xf fontId="4606" applyFont="true" borderId="8" applyBorder="true" applyNumberFormat="true" numFmtId="1" fillId="22" applyFill="true">
      <alignment horizontal="center" vertical="center"/>
    </xf>
    <xf fontId="4607" applyFont="true" borderId="8" applyBorder="true" applyNumberFormat="true" numFmtId="1" fillId="22" applyFill="true">
      <alignment horizontal="center" vertical="center"/>
    </xf>
    <xf fontId="4608" applyFont="true" borderId="8" applyBorder="true" applyNumberFormat="true" numFmtId="1" fillId="22" applyFill="true">
      <alignment horizontal="center" vertical="center"/>
    </xf>
    <xf fontId="4609" applyFont="true" borderId="8" applyBorder="true" applyNumberFormat="true" numFmtId="1" fillId="22" applyFill="true">
      <alignment horizontal="center" vertical="center"/>
    </xf>
    <xf fontId="4610" applyFont="true" borderId="8" applyBorder="true" applyNumberFormat="true" numFmtId="1" fillId="22" applyFill="true">
      <alignment horizontal="center" vertical="center"/>
    </xf>
    <xf fontId="4611" applyFont="true" borderId="8" applyBorder="true" applyNumberFormat="true" numFmtId="1" fillId="22" applyFill="true">
      <alignment horizontal="center" vertical="center"/>
    </xf>
    <xf fontId="4612" applyFont="true" borderId="8" applyBorder="true" applyNumberFormat="true" numFmtId="1" fillId="22" applyFill="true">
      <alignment horizontal="center" vertical="center"/>
    </xf>
    <xf fontId="4613" applyFont="true" borderId="8" applyBorder="true" applyNumberFormat="true" numFmtId="165" fillId="22" applyFill="true">
      <alignment horizontal="center" vertical="center"/>
    </xf>
    <xf fontId="4614" applyFont="true" borderId="8" applyBorder="true" applyNumberFormat="true" numFmtId="165" fillId="22" applyFill="true">
      <alignment horizontal="center" vertical="center"/>
    </xf>
    <xf fontId="4615" applyFont="true" borderId="8" applyBorder="true" applyNumberFormat="true" numFmtId="1" fillId="22" applyFill="true">
      <alignment horizontal="center" vertical="center"/>
    </xf>
    <xf fontId="4616" applyFont="true" borderId="8" applyBorder="true" applyNumberFormat="true" numFmtId="1" fillId="22" applyFill="true">
      <alignment horizontal="center" vertical="center"/>
    </xf>
    <xf fontId="4617" applyFont="true" borderId="8" applyBorder="true" applyNumberFormat="true" numFmtId="1" fillId="22" applyFill="true">
      <alignment horizontal="center" vertical="center"/>
    </xf>
    <xf fontId="4618" applyFont="true" borderId="8" applyBorder="true" applyNumberFormat="true" numFmtId="167" fillId="22" applyFill="true">
      <alignment horizontal="center" vertical="center"/>
    </xf>
    <xf fontId="4619" applyFont="true" borderId="8" applyBorder="true" applyNumberFormat="true" numFmtId="1" fillId="22" applyFill="true">
      <alignment horizontal="center" vertical="center"/>
    </xf>
    <xf fontId="4620" applyFont="true" borderId="8" applyBorder="true" applyNumberFormat="true" numFmtId="167" fillId="22" applyFill="true">
      <alignment horizontal="center" vertical="center"/>
    </xf>
    <xf fontId="4621" applyFont="true" borderId="8" applyBorder="true" applyNumberFormat="true" numFmtId="1" fillId="22" applyFill="true">
      <alignment horizontal="center" vertical="center"/>
    </xf>
    <xf fontId="4622" applyFont="true" borderId="8" applyBorder="true" applyNumberFormat="true" numFmtId="167" fillId="22" applyFill="true">
      <alignment horizontal="center" vertical="center"/>
    </xf>
    <xf fontId="4623" applyFont="true" borderId="8" applyBorder="true" applyNumberFormat="true" numFmtId="1" fillId="22" applyFill="true">
      <alignment horizontal="center" vertical="center"/>
    </xf>
    <xf fontId="4624" applyFont="true" borderId="8" applyBorder="true" applyNumberFormat="true" numFmtId="167" fillId="22" applyFill="true">
      <alignment horizontal="center" vertical="center"/>
    </xf>
    <xf fontId="4625" applyFont="true" borderId="8" applyBorder="true" applyNumberFormat="true" numFmtId="167" fillId="22" applyFill="true">
      <alignment horizontal="center" vertical="center"/>
    </xf>
    <xf fontId="4626" applyFont="true" borderId="8" applyBorder="true" applyNumberFormat="true" numFmtId="1" fillId="22" applyFill="true">
      <alignment horizontal="center" vertical="center"/>
    </xf>
    <xf fontId="4627" applyFont="true" borderId="8" applyBorder="true" applyNumberFormat="true" numFmtId="1" fillId="22" applyFill="true">
      <alignment horizontal="center" vertical="center"/>
    </xf>
    <xf fontId="4628" applyFont="true" borderId="8" applyBorder="true" applyNumberFormat="true" numFmtId="1" fillId="22" applyFill="true">
      <alignment horizontal="center" vertical="center"/>
    </xf>
    <xf fontId="4629" applyFont="true" borderId="8" applyBorder="true" applyNumberFormat="true" numFmtId="167" fillId="22" applyFill="true">
      <alignment horizontal="center" vertical="center"/>
    </xf>
    <xf fontId="4630" applyFont="true" borderId="8" applyBorder="true" applyNumberFormat="true" numFmtId="166" fillId="22" applyFill="true">
      <alignment horizontal="center" vertical="center"/>
    </xf>
    <xf fontId="4631" applyFont="true" borderId="8" applyBorder="true" applyNumberFormat="true" numFmtId="166" fillId="22" applyFill="true">
      <alignment horizontal="center" vertical="center"/>
    </xf>
    <xf fontId="4632" applyFont="true" borderId="8" applyBorder="true" applyNumberFormat="true" numFmtId="1" fillId="22" applyFill="true">
      <alignment horizontal="center" vertical="center"/>
    </xf>
    <xf fontId="4633" applyFont="true" borderId="8" applyBorder="true" applyNumberFormat="true" numFmtId="1" fillId="22" applyFill="true">
      <alignment horizontal="center" vertical="center"/>
    </xf>
    <xf fontId="4634" applyFont="true" borderId="8" applyBorder="true" applyNumberFormat="true" numFmtId="1" fillId="22" applyFill="true">
      <alignment horizontal="center" vertical="center"/>
    </xf>
    <xf fontId="4635" applyFont="true" borderId="8" applyBorder="true" applyNumberFormat="true" numFmtId="167" fillId="22" applyFill="true">
      <alignment horizontal="center" vertical="center"/>
    </xf>
    <xf fontId="4636" applyFont="true" borderId="8" applyBorder="true" applyNumberFormat="true" numFmtId="1" fillId="22" applyFill="true">
      <alignment horizontal="center" vertical="center"/>
    </xf>
    <xf fontId="4637" applyFont="true" borderId="8" applyBorder="true" applyNumberFormat="true" numFmtId="167" fillId="22" applyFill="true">
      <alignment horizontal="center" vertical="center"/>
    </xf>
    <xf fontId="4638" applyFont="true" borderId="8" applyBorder="true" applyNumberFormat="true" numFmtId="1" fillId="22" applyFill="true">
      <alignment horizontal="center" vertical="center"/>
    </xf>
    <xf fontId="4639" applyFont="true" borderId="8" applyBorder="true" applyNumberFormat="true" numFmtId="1" fillId="22" applyFill="true">
      <alignment horizontal="center" vertical="center"/>
    </xf>
    <xf fontId="4640" applyFont="true" borderId="8" applyBorder="true" applyNumberFormat="true" numFmtId="1" fillId="22" applyFill="true">
      <alignment horizontal="center" vertical="center"/>
    </xf>
    <xf fontId="4641" applyFont="true" borderId="8" applyBorder="true" applyNumberFormat="true" numFmtId="1" fillId="22" applyFill="true">
      <alignment horizontal="center" vertical="center"/>
    </xf>
    <xf fontId="4642" applyFont="true" borderId="8" applyBorder="true" applyNumberFormat="true" numFmtId="167" fillId="22" applyFill="true">
      <alignment horizontal="center" vertical="center"/>
    </xf>
    <xf fontId="4643" applyFont="true" borderId="8" applyBorder="true" applyNumberFormat="true" numFmtId="1" fillId="22" applyFill="true">
      <alignment horizontal="center" vertical="center"/>
    </xf>
    <xf fontId="4644" applyFont="true" borderId="8" applyBorder="true" applyNumberFormat="true" numFmtId="167" fillId="22" applyFill="true">
      <alignment horizontal="center" vertical="center"/>
    </xf>
    <xf fontId="4645" applyFont="true" borderId="8" applyBorder="true" applyNumberFormat="true" numFmtId="1" fillId="22" applyFill="true">
      <alignment horizontal="center" vertical="center"/>
    </xf>
    <xf fontId="4646" applyFont="true" borderId="8" applyBorder="true" applyNumberFormat="true" numFmtId="167" fillId="22" applyFill="true">
      <alignment horizontal="center" vertical="center"/>
    </xf>
    <xf fontId="4647" applyFont="true" borderId="8" applyBorder="true" applyNumberFormat="true" numFmtId="2" fillId="22" applyFill="true">
      <alignment horizontal="center" vertical="center"/>
    </xf>
    <xf fontId="4648" applyFont="true" borderId="8" applyBorder="true" applyNumberFormat="true" numFmtId="2" fillId="22" applyFill="true">
      <alignment horizontal="center" vertical="center"/>
    </xf>
    <xf fontId="4649" applyFont="true" borderId="8" applyBorder="true" applyNumberFormat="true" numFmtId="2" fillId="22" applyFill="true">
      <alignment horizontal="center" vertical="center"/>
    </xf>
    <xf fontId="4650" applyFont="true" borderId="8" applyBorder="true" applyNumberFormat="true" numFmtId="2" fillId="22" applyFill="true">
      <alignment horizontal="center" vertical="center"/>
    </xf>
    <xf fontId="4651" applyFont="true" borderId="8" applyBorder="true" applyNumberFormat="true" numFmtId="2" fillId="22" applyFill="true">
      <alignment horizontal="center" vertical="center"/>
    </xf>
    <xf fontId="4652" applyFont="true" borderId="8" applyBorder="true" applyNumberFormat="true" numFmtId="2" fillId="22" applyFill="true">
      <alignment horizontal="center" vertical="center"/>
    </xf>
    <xf fontId="4653" applyFont="true" borderId="8" applyBorder="true" applyNumberFormat="true" numFmtId="2" fillId="22" applyFill="true">
      <alignment horizontal="center" vertical="center"/>
    </xf>
    <xf fontId="4654" applyFont="true" borderId="8" applyBorder="true" applyNumberFormat="true" numFmtId="2" fillId="22" applyFill="true">
      <alignment horizontal="center" vertical="center"/>
    </xf>
    <xf fontId="4655" applyFont="true" borderId="8" applyBorder="true" applyNumberFormat="true" numFmtId="2" fillId="22" applyFill="true">
      <alignment horizontal="center" vertical="center"/>
    </xf>
    <xf fontId="4656" applyFont="true" borderId="8" applyBorder="true" applyNumberFormat="true" numFmtId="2" fillId="22" applyFill="true">
      <alignment horizontal="center" vertical="center"/>
    </xf>
    <xf fontId="4657" applyFont="true" borderId="8" applyBorder="true" applyNumberFormat="true" numFmtId="2" fillId="22" applyFill="true">
      <alignment horizontal="center" vertical="center"/>
    </xf>
    <xf fontId="4658" applyFont="true" borderId="8" applyBorder="true" applyNumberFormat="true" numFmtId="2" fillId="22" applyFill="true">
      <alignment horizontal="center" vertical="center"/>
    </xf>
    <xf fontId="4659" applyFont="true" borderId="8" applyBorder="true" applyNumberFormat="true" numFmtId="2" fillId="22" applyFill="true">
      <alignment horizontal="center" vertical="center"/>
    </xf>
    <xf fontId="4660" applyFont="true" borderId="8" applyBorder="true" applyNumberFormat="true" numFmtId="2" fillId="22" applyFill="true">
      <alignment horizontal="center" vertical="center"/>
    </xf>
    <xf fontId="4661" applyFont="true" borderId="8" applyBorder="true" applyNumberFormat="true" numFmtId="2" fillId="22" applyFill="true">
      <alignment horizontal="center" vertical="center"/>
    </xf>
    <xf fontId="4662" applyFont="true" borderId="8" applyBorder="true" applyNumberFormat="true" numFmtId="2" fillId="22" applyFill="true">
      <alignment horizontal="center" vertical="center"/>
    </xf>
    <xf fontId="4663" applyFont="true" borderId="8" applyBorder="true" applyNumberFormat="true" numFmtId="2" fillId="22" applyFill="true">
      <alignment horizontal="center" vertical="center"/>
    </xf>
    <xf fontId="4664" applyFont="true" borderId="8" applyBorder="true" applyNumberFormat="true" numFmtId="2" fillId="22" applyFill="true">
      <alignment horizontal="center" vertical="center"/>
    </xf>
    <xf fontId="4665" applyFont="true" borderId="8" applyBorder="true" applyNumberFormat="true" numFmtId="2" fillId="22" applyFill="true">
      <alignment horizontal="center" vertical="center"/>
    </xf>
    <xf fontId="4666" applyFont="true" borderId="8" applyBorder="true" applyNumberFormat="true" numFmtId="2" fillId="22" applyFill="true">
      <alignment horizontal="center" vertical="center"/>
    </xf>
    <xf fontId="4667" applyFont="true" borderId="8" applyBorder="true" applyNumberFormat="true" numFmtId="2" fillId="22" applyFill="true">
      <alignment horizontal="center" vertical="center"/>
    </xf>
    <xf fontId="4668" applyFont="true" borderId="8" applyBorder="true" applyNumberFormat="true" numFmtId="2" fillId="22" applyFill="true">
      <alignment horizontal="center" vertical="center"/>
    </xf>
    <xf fontId="4669" applyFont="true" borderId="8" applyBorder="true" applyNumberFormat="true" numFmtId="2" fillId="22" applyFill="true">
      <alignment horizontal="center" vertical="center"/>
    </xf>
    <xf fontId="4670" applyFont="true" borderId="8" applyBorder="true" applyNumberFormat="true" numFmtId="2" fillId="22" applyFill="true">
      <alignment horizontal="center" vertical="center"/>
    </xf>
    <xf fontId="4671" applyFont="true" borderId="8" applyBorder="true" applyNumberFormat="true" numFmtId="2" fillId="22" applyFill="true">
      <alignment horizontal="center" vertical="center"/>
    </xf>
    <xf fontId="4672" applyFont="true" borderId="8" applyBorder="true" applyNumberFormat="true" numFmtId="2" fillId="22" applyFill="true">
      <alignment horizontal="center" vertical="center"/>
    </xf>
    <xf fontId="4673" applyFont="true" borderId="8" applyBorder="true" applyNumberFormat="true" numFmtId="2" fillId="22" applyFill="true">
      <alignment horizontal="center" vertical="center"/>
    </xf>
    <xf fontId="4674" applyFont="true" borderId="8" applyBorder="true" applyNumberFormat="true" numFmtId="2" fillId="22" applyFill="true">
      <alignment horizontal="center" vertical="center"/>
    </xf>
    <xf fontId="4675" applyFont="true" borderId="8" applyBorder="true" applyNumberFormat="true" numFmtId="2" fillId="22" applyFill="true">
      <alignment horizontal="center" vertical="center"/>
    </xf>
    <xf fontId="4676" applyFont="true" borderId="8" applyBorder="true" applyNumberFormat="true" numFmtId="2" fillId="22" applyFill="true">
      <alignment horizontal="center" vertical="center"/>
    </xf>
    <xf fontId="4677" applyFont="true" borderId="8" applyBorder="true" applyNumberFormat="true" numFmtId="2" fillId="22" applyFill="true">
      <alignment horizontal="center" vertical="center"/>
    </xf>
    <xf fontId="4678" applyFont="true" borderId="8" applyBorder="true" applyNumberFormat="true" numFmtId="2" fillId="22" applyFill="true">
      <alignment horizontal="center" vertical="center"/>
    </xf>
    <xf fontId="4679" applyFont="true" borderId="8" applyBorder="true" applyNumberFormat="true" numFmtId="2" fillId="22" applyFill="true">
      <alignment horizontal="center" vertical="center"/>
    </xf>
    <xf fontId="4680" applyFont="true" borderId="8" applyBorder="true" applyNumberFormat="true" numFmtId="2" fillId="22" applyFill="true">
      <alignment horizontal="center" vertical="center"/>
    </xf>
    <xf fontId="4681" applyFont="true" borderId="8" applyBorder="true" fillId="4" applyFill="true">
      <alignment horizontal="center" vertical="center"/>
    </xf>
    <xf fontId="4682" applyFont="true" borderId="8" applyBorder="true" fillId="4" applyFill="true">
      <alignment horizontal="center" vertical="center"/>
    </xf>
    <xf fontId="4683" applyFont="true" borderId="8" applyBorder="true" fillId="4" applyFill="true">
      <alignment horizontal="center" vertical="center"/>
    </xf>
    <xf fontId="4684" applyFont="true" borderId="8" applyBorder="true" fillId="4" applyFill="true">
      <alignment horizontal="center" vertical="center"/>
    </xf>
    <xf fontId="4685" applyFont="true" borderId="8" applyBorder="true" fillId="4" applyFill="true">
      <alignment horizontal="center" vertical="center"/>
    </xf>
    <xf fontId="4686" applyFont="true" borderId="8" applyBorder="true" fillId="4" applyFill="true">
      <alignment horizontal="center" vertical="center"/>
    </xf>
    <xf fontId="4687" applyFont="true" borderId="8" applyBorder="true" fillId="4" applyFill="true">
      <alignment horizontal="center" vertical="center"/>
    </xf>
    <xf fontId="4688" applyFont="true" borderId="8" applyBorder="true" fillId="4" applyFill="true">
      <alignment horizontal="center" vertical="center"/>
    </xf>
    <xf fontId="4689" applyFont="true" borderId="8" applyBorder="true" fillId="4" applyFill="true">
      <alignment horizontal="center" vertical="center"/>
    </xf>
    <xf fontId="4690" applyFont="true" borderId="8" applyBorder="true" fillId="4" applyFill="true">
      <alignment horizontal="center" vertical="center"/>
    </xf>
    <xf fontId="4691" applyFont="true" borderId="8" applyBorder="true" fillId="4" applyFill="true">
      <alignment horizontal="center" vertical="center"/>
    </xf>
    <xf fontId="4692" applyFont="true" borderId="8" applyBorder="true" fillId="4" applyFill="true">
      <alignment horizontal="center" vertical="center"/>
    </xf>
    <xf fontId="4693" applyFont="true" borderId="8" applyBorder="true" fillId="4" applyFill="true">
      <alignment horizontal="center" vertical="center"/>
    </xf>
    <xf fontId="4694" applyFont="true" borderId="8" applyBorder="true" fillId="4" applyFill="true">
      <alignment horizontal="center" vertical="center"/>
    </xf>
    <xf fontId="4695" applyFont="true" borderId="8" applyBorder="true" fillId="4" applyFill="true">
      <alignment horizontal="center" vertical="center"/>
    </xf>
    <xf fontId="4696" applyFont="true" borderId="8" applyBorder="true" fillId="4" applyFill="true">
      <alignment horizontal="center" vertical="center"/>
    </xf>
    <xf fontId="4697" applyFont="true" borderId="8" applyBorder="true" fillId="4" applyFill="true">
      <alignment horizontal="center" vertical="center"/>
    </xf>
    <xf fontId="4698" applyFont="true" borderId="8" applyBorder="true" fillId="4" applyFill="true">
      <alignment horizontal="center" vertical="center"/>
    </xf>
    <xf fontId="4699" applyFont="true" borderId="8" applyBorder="true" fillId="4" applyFill="true">
      <alignment horizontal="center" vertical="center"/>
    </xf>
    <xf fontId="4700" applyFont="true" borderId="8" applyBorder="true" fillId="4" applyFill="true">
      <alignment horizontal="center" vertical="center"/>
    </xf>
    <xf fontId="4701" applyFont="true" borderId="8" applyBorder="true" fillId="4" applyFill="true">
      <alignment horizontal="center" vertical="center"/>
    </xf>
    <xf fontId="4702" applyFont="true" borderId="8" applyBorder="true" fillId="4" applyFill="true">
      <alignment horizontal="center" vertical="center"/>
    </xf>
    <xf fontId="4703" applyFont="true" borderId="8" applyBorder="true" fillId="4" applyFill="true">
      <alignment horizontal="center" vertical="center"/>
    </xf>
    <xf fontId="4704" applyFont="true" borderId="8" applyBorder="true" fillId="4" applyFill="true">
      <alignment horizontal="center" vertical="center"/>
    </xf>
    <xf fontId="4705" applyFont="true" borderId="8" applyBorder="true" fillId="4" applyFill="true">
      <alignment horizontal="center" vertical="center"/>
    </xf>
    <xf fontId="4706" applyFont="true" borderId="8" applyBorder="true" fillId="4" applyFill="true">
      <alignment horizontal="center" vertical="center"/>
    </xf>
    <xf fontId="4707" applyFont="true" borderId="8" applyBorder="true" fillId="4" applyFill="true">
      <alignment horizontal="center" vertical="center"/>
    </xf>
    <xf fontId="4708" applyFont="true" borderId="8" applyBorder="true" fillId="4" applyFill="true">
      <alignment horizontal="center" vertical="center"/>
    </xf>
    <xf fontId="4709" applyFont="true" borderId="8" applyBorder="true" fillId="4" applyFill="true">
      <alignment horizontal="center" vertical="center"/>
    </xf>
    <xf fontId="4710" applyFont="true" borderId="8" applyBorder="true" fillId="4" applyFill="true">
      <alignment horizontal="center" vertical="center"/>
    </xf>
    <xf fontId="4711" applyFont="true" borderId="8" applyBorder="true" fillId="4" applyFill="true">
      <alignment horizontal="center" vertical="center"/>
    </xf>
    <xf fontId="4712" applyFont="true" borderId="8" applyBorder="true" fillId="4" applyFill="true">
      <alignment horizontal="center" vertical="center"/>
    </xf>
    <xf fontId="4713" applyFont="true" borderId="8" applyBorder="true" fillId="4" applyFill="true">
      <alignment horizontal="center" vertical="center"/>
    </xf>
    <xf fontId="4714" applyFont="true" borderId="8" applyBorder="true" fillId="4" applyFill="true">
      <alignment horizontal="center" vertical="center"/>
    </xf>
    <xf fontId="4715" applyFont="true" borderId="8" applyBorder="true" fillId="4" applyFill="true">
      <alignment horizontal="center" vertical="center"/>
    </xf>
    <xf fontId="4716" applyFont="true" borderId="8" applyBorder="true" fillId="4" applyFill="true">
      <alignment horizontal="center" vertical="center"/>
    </xf>
    <xf fontId="4717" applyFont="true" borderId="8" applyBorder="true" fillId="4" applyFill="true">
      <alignment horizontal="center" vertical="center"/>
    </xf>
    <xf fontId="4718" applyFont="true" borderId="8" applyBorder="true" fillId="4" applyFill="true">
      <alignment horizontal="center" vertical="center"/>
    </xf>
    <xf fontId="4719" applyFont="true" borderId="8" applyBorder="true" fillId="4" applyFill="true">
      <alignment horizontal="center" vertical="center"/>
    </xf>
    <xf fontId="4720" applyFont="true" borderId="8" applyBorder="true" fillId="4" applyFill="true">
      <alignment horizontal="center" vertical="center"/>
    </xf>
    <xf fontId="4721" applyFont="true" borderId="8" applyBorder="true" fillId="4" applyFill="true">
      <alignment horizontal="center" vertical="center"/>
    </xf>
    <xf fontId="4722" applyFont="true" borderId="8" applyBorder="true" fillId="4" applyFill="true">
      <alignment horizontal="center" vertical="center"/>
    </xf>
    <xf fontId="4723" applyFont="true" borderId="8" applyBorder="true" fillId="4" applyFill="true">
      <alignment horizontal="center" vertical="center"/>
    </xf>
    <xf fontId="4724" applyFont="true" borderId="8" applyBorder="true" fillId="4" applyFill="true">
      <alignment horizontal="center" vertical="center"/>
    </xf>
    <xf fontId="4725" applyFont="true" borderId="8" applyBorder="true" fillId="4" applyFill="true">
      <alignment horizontal="center" vertical="center"/>
    </xf>
    <xf fontId="4726" applyFont="true" borderId="8" applyBorder="true" fillId="4" applyFill="true">
      <alignment horizontal="center" vertical="center"/>
    </xf>
    <xf fontId="4727" applyFont="true" borderId="8" applyBorder="true" fillId="7" applyFill="true">
      <alignment horizontal="center" vertical="center"/>
    </xf>
    <xf fontId="4728" applyFont="true" borderId="8" applyBorder="true" fillId="7" applyFill="true">
      <alignment horizontal="center" vertical="center"/>
    </xf>
    <xf fontId="4729" applyFont="true" borderId="8" applyBorder="true" fillId="7" applyFill="true">
      <alignment horizontal="center" vertical="center"/>
    </xf>
    <xf fontId="4730" applyFont="true" borderId="8" applyBorder="true" fillId="7" applyFill="true">
      <alignment horizontal="center" vertical="center"/>
    </xf>
    <xf fontId="4731" applyFont="true" borderId="8" applyBorder="true" fillId="7" applyFill="true">
      <alignment horizontal="center" vertical="center"/>
    </xf>
    <xf fontId="4732" applyFont="true" borderId="8" applyBorder="true" fillId="7" applyFill="true">
      <alignment horizontal="center" vertical="center"/>
    </xf>
    <xf fontId="4733" applyFont="true" borderId="8" applyBorder="true" fillId="7" applyFill="true">
      <alignment horizontal="center" vertical="center"/>
    </xf>
    <xf fontId="4734" applyFont="true" borderId="8" applyBorder="true" fillId="7" applyFill="true">
      <alignment horizontal="center" vertical="center"/>
    </xf>
    <xf fontId="4735" applyFont="true" borderId="8" applyBorder="true" fillId="7" applyFill="true">
      <alignment horizontal="center" vertical="center"/>
    </xf>
    <xf fontId="4736" applyFont="true" borderId="8" applyBorder="true" fillId="7" applyFill="true">
      <alignment horizontal="center" vertical="center"/>
    </xf>
    <xf fontId="4737" applyFont="true" borderId="8" applyBorder="true" fillId="7" applyFill="true">
      <alignment horizontal="center" vertical="center"/>
    </xf>
    <xf fontId="4738" applyFont="true" borderId="8" applyBorder="true" fillId="7" applyFill="true">
      <alignment horizontal="center" vertical="center"/>
    </xf>
    <xf fontId="4739" applyFont="true" borderId="8" applyBorder="true" fillId="7" applyFill="true">
      <alignment horizontal="center" vertical="center"/>
    </xf>
    <xf fontId="4740" applyFont="true" borderId="8" applyBorder="true" fillId="7" applyFill="true">
      <alignment horizontal="center" vertical="center"/>
    </xf>
    <xf fontId="4741" applyFont="true" borderId="8" applyBorder="true" fillId="7" applyFill="true">
      <alignment horizontal="center" vertical="center"/>
    </xf>
    <xf fontId="4742" applyFont="true" borderId="8" applyBorder="true" fillId="7" applyFill="true">
      <alignment horizontal="center" vertical="center"/>
    </xf>
    <xf fontId="4743" applyFont="true" borderId="8" applyBorder="true" fillId="7" applyFill="true">
      <alignment horizontal="center" vertical="center"/>
    </xf>
    <xf fontId="4744" applyFont="true" borderId="8" applyBorder="true" fillId="7" applyFill="true">
      <alignment horizontal="center" vertical="center"/>
    </xf>
    <xf fontId="4745" applyFont="true" borderId="8" applyBorder="true" fillId="7" applyFill="true">
      <alignment horizontal="center" vertical="center"/>
    </xf>
    <xf fontId="4746" applyFont="true" borderId="8" applyBorder="true" fillId="7" applyFill="true">
      <alignment horizontal="center" vertical="center"/>
    </xf>
    <xf fontId="4747" applyFont="true" borderId="8" applyBorder="true" fillId="7" applyFill="true">
      <alignment horizontal="center" vertical="center"/>
    </xf>
    <xf fontId="4748" applyFont="true" borderId="8" applyBorder="true" fillId="7" applyFill="true">
      <alignment horizontal="center" vertical="center"/>
    </xf>
    <xf fontId="4749" applyFont="true" borderId="8" applyBorder="true" fillId="10" applyFill="true">
      <alignment horizontal="center" vertical="center"/>
    </xf>
    <xf fontId="4750" applyFont="true" borderId="8" applyBorder="true" fillId="10" applyFill="true">
      <alignment horizontal="center" vertical="center"/>
    </xf>
    <xf fontId="4751" applyFont="true" borderId="8" applyBorder="true" fillId="10" applyFill="true">
      <alignment horizontal="center" vertical="center"/>
    </xf>
    <xf fontId="4752" applyFont="true" borderId="8" applyBorder="true" fillId="10" applyFill="true">
      <alignment horizontal="center" vertical="center"/>
    </xf>
    <xf fontId="4753" applyFont="true" borderId="8" applyBorder="true" fillId="13" applyFill="true">
      <alignment horizontal="center" vertical="center"/>
    </xf>
    <xf fontId="4754" applyFont="true" borderId="8" applyBorder="true" fillId="13" applyFill="true">
      <alignment horizontal="center" vertical="center"/>
    </xf>
    <xf fontId="4755" applyFont="true" borderId="8" applyBorder="true" fillId="13" applyFill="true">
      <alignment horizontal="center" vertical="center"/>
    </xf>
    <xf fontId="4756" applyFont="true" borderId="8" applyBorder="true" fillId="16" applyFill="true">
      <alignment horizontal="center" vertical="center"/>
    </xf>
    <xf fontId="4757" applyFont="true" borderId="8" applyBorder="true" fillId="16" applyFill="true">
      <alignment horizontal="center" vertical="center"/>
    </xf>
    <xf fontId="4758" applyFont="true" borderId="8" applyBorder="true" fillId="16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applyNumberFormat="true" numFmtId="165" fillId="19" applyFill="true">
      <alignment horizontal="left" vertical="center"/>
    </xf>
    <xf fontId="4994" applyFont="true" borderId="8" applyBorder="true" applyNumberFormat="true" numFmtId="165" fillId="22" applyFill="true">
      <alignment horizontal="center" vertical="center"/>
    </xf>
    <xf fontId="4995" applyFont="true" borderId="8" applyBorder="true" applyNumberFormat="true" numFmtId="166" fillId="22" applyFill="true">
      <alignment horizontal="center" vertical="center"/>
    </xf>
    <xf fontId="4996" applyFont="true" borderId="8" applyBorder="true" applyNumberFormat="true" numFmtId="1" fillId="22" applyFill="true">
      <alignment horizontal="center" vertical="center"/>
    </xf>
    <xf fontId="4997" applyFont="true" borderId="8" applyBorder="true" applyNumberFormat="true" numFmtId="1" fillId="22" applyFill="true">
      <alignment horizontal="center" vertical="center"/>
    </xf>
    <xf fontId="4998" applyFont="true" borderId="8" applyBorder="true" applyNumberFormat="true" numFmtId="1" fillId="22" applyFill="true">
      <alignment horizontal="center" vertical="center"/>
    </xf>
    <xf fontId="4999" applyFont="true" borderId="8" applyBorder="true" applyNumberFormat="true" numFmtId="1" fillId="22" applyFill="true">
      <alignment horizontal="center" vertical="center"/>
    </xf>
    <xf fontId="5000" applyFont="true" borderId="8" applyBorder="true" applyNumberFormat="true" numFmtId="1" fillId="22" applyFill="true">
      <alignment horizontal="center" vertical="center"/>
    </xf>
    <xf fontId="5001" applyFont="true" borderId="8" applyBorder="true" applyNumberFormat="true" numFmtId="1" fillId="22" applyFill="true">
      <alignment horizontal="center" vertical="center"/>
    </xf>
    <xf fontId="5002" applyFont="true" borderId="8" applyBorder="true" applyNumberFormat="true" numFmtId="1" fillId="22" applyFill="true">
      <alignment horizontal="center" vertical="center"/>
    </xf>
    <xf fontId="5003" applyFont="true" borderId="8" applyBorder="true" applyNumberFormat="true" numFmtId="165" fillId="22" applyFill="true">
      <alignment horizontal="center" vertical="center"/>
    </xf>
    <xf fontId="5004" applyFont="true" borderId="8" applyBorder="true" applyNumberFormat="true" numFmtId="165" fillId="22" applyFill="true">
      <alignment horizontal="center" vertical="center"/>
    </xf>
    <xf fontId="5005" applyFont="true" borderId="8" applyBorder="true" applyNumberFormat="true" numFmtId="1" fillId="22" applyFill="true">
      <alignment horizontal="center" vertical="center"/>
    </xf>
    <xf fontId="5006" applyFont="true" borderId="8" applyBorder="true" applyNumberFormat="true" numFmtId="1" fillId="22" applyFill="true">
      <alignment horizontal="center" vertical="center"/>
    </xf>
    <xf fontId="5007" applyFont="true" borderId="8" applyBorder="true" applyNumberFormat="true" numFmtId="1" fillId="22" applyFill="true">
      <alignment horizontal="center" vertical="center"/>
    </xf>
    <xf fontId="5008" applyFont="true" borderId="8" applyBorder="true" applyNumberFormat="true" numFmtId="167" fillId="22" applyFill="true">
      <alignment horizontal="center" vertical="center"/>
    </xf>
    <xf fontId="5009" applyFont="true" borderId="8" applyBorder="true" applyNumberFormat="true" numFmtId="1" fillId="22" applyFill="true">
      <alignment horizontal="center" vertical="center"/>
    </xf>
    <xf fontId="5010" applyFont="true" borderId="8" applyBorder="true" applyNumberFormat="true" numFmtId="167" fillId="22" applyFill="true">
      <alignment horizontal="center" vertical="center"/>
    </xf>
    <xf fontId="5011" applyFont="true" borderId="8" applyBorder="true" applyNumberFormat="true" numFmtId="1" fillId="22" applyFill="true">
      <alignment horizontal="center" vertical="center"/>
    </xf>
    <xf fontId="5012" applyFont="true" borderId="8" applyBorder="true" applyNumberFormat="true" numFmtId="167" fillId="22" applyFill="true">
      <alignment horizontal="center" vertical="center"/>
    </xf>
    <xf fontId="5013" applyFont="true" borderId="8" applyBorder="true" applyNumberFormat="true" numFmtId="1" fillId="22" applyFill="true">
      <alignment horizontal="center" vertical="center"/>
    </xf>
    <xf fontId="5014" applyFont="true" borderId="8" applyBorder="true" applyNumberFormat="true" numFmtId="167" fillId="22" applyFill="true">
      <alignment horizontal="center" vertical="center"/>
    </xf>
    <xf fontId="5015" applyFont="true" borderId="8" applyBorder="true" applyNumberFormat="true" numFmtId="167" fillId="22" applyFill="true">
      <alignment horizontal="center" vertical="center"/>
    </xf>
    <xf fontId="5016" applyFont="true" borderId="8" applyBorder="true" applyNumberFormat="true" numFmtId="1" fillId="22" applyFill="true">
      <alignment horizontal="center" vertical="center"/>
    </xf>
    <xf fontId="5017" applyFont="true" borderId="8" applyBorder="true" applyNumberFormat="true" numFmtId="1" fillId="22" applyFill="true">
      <alignment horizontal="center" vertical="center"/>
    </xf>
    <xf fontId="5018" applyFont="true" borderId="8" applyBorder="true" applyNumberFormat="true" numFmtId="1" fillId="22" applyFill="true">
      <alignment horizontal="center" vertical="center"/>
    </xf>
    <xf fontId="5019" applyFont="true" borderId="8" applyBorder="true" applyNumberFormat="true" numFmtId="167" fillId="22" applyFill="true">
      <alignment horizontal="center" vertical="center"/>
    </xf>
    <xf fontId="5020" applyFont="true" borderId="8" applyBorder="true" applyNumberFormat="true" numFmtId="166" fillId="22" applyFill="true">
      <alignment horizontal="center" vertical="center"/>
    </xf>
    <xf fontId="5021" applyFont="true" borderId="8" applyBorder="true" applyNumberFormat="true" numFmtId="166" fillId="22" applyFill="true">
      <alignment horizontal="center" vertical="center"/>
    </xf>
    <xf fontId="5022" applyFont="true" borderId="8" applyBorder="true" applyNumberFormat="true" numFmtId="1" fillId="22" applyFill="true">
      <alignment horizontal="center" vertical="center"/>
    </xf>
    <xf fontId="5023" applyFont="true" borderId="8" applyBorder="true" applyNumberFormat="true" numFmtId="1" fillId="22" applyFill="true">
      <alignment horizontal="center" vertical="center"/>
    </xf>
    <xf fontId="5024" applyFont="true" borderId="8" applyBorder="true" applyNumberFormat="true" numFmtId="1" fillId="22" applyFill="true">
      <alignment horizontal="center" vertical="center"/>
    </xf>
    <xf fontId="5025" applyFont="true" borderId="8" applyBorder="true" applyNumberFormat="true" numFmtId="167" fillId="22" applyFill="true">
      <alignment horizontal="center" vertical="center"/>
    </xf>
    <xf fontId="5026" applyFont="true" borderId="8" applyBorder="true" applyNumberFormat="true" numFmtId="1" fillId="22" applyFill="true">
      <alignment horizontal="center" vertical="center"/>
    </xf>
    <xf fontId="5027" applyFont="true" borderId="8" applyBorder="true" applyNumberFormat="true" numFmtId="167" fillId="22" applyFill="true">
      <alignment horizontal="center" vertical="center"/>
    </xf>
    <xf fontId="5028" applyFont="true" borderId="8" applyBorder="true" applyNumberFormat="true" numFmtId="1" fillId="22" applyFill="true">
      <alignment horizontal="center" vertical="center"/>
    </xf>
    <xf fontId="5029" applyFont="true" borderId="8" applyBorder="true" applyNumberFormat="true" numFmtId="1" fillId="22" applyFill="true">
      <alignment horizontal="center" vertical="center"/>
    </xf>
    <xf fontId="5030" applyFont="true" borderId="8" applyBorder="true" applyNumberFormat="true" numFmtId="1" fillId="22" applyFill="true">
      <alignment horizontal="center" vertical="center"/>
    </xf>
    <xf fontId="5031" applyFont="true" borderId="8" applyBorder="true" applyNumberFormat="true" numFmtId="1" fillId="22" applyFill="true">
      <alignment horizontal="center" vertical="center"/>
    </xf>
    <xf fontId="5032" applyFont="true" borderId="8" applyBorder="true" applyNumberFormat="true" numFmtId="167" fillId="22" applyFill="true">
      <alignment horizontal="center" vertical="center"/>
    </xf>
    <xf fontId="5033" applyFont="true" borderId="8" applyBorder="true" applyNumberFormat="true" numFmtId="1" fillId="22" applyFill="true">
      <alignment horizontal="center" vertical="center"/>
    </xf>
    <xf fontId="5034" applyFont="true" borderId="8" applyBorder="true" applyNumberFormat="true" numFmtId="167" fillId="22" applyFill="true">
      <alignment horizontal="center" vertical="center"/>
    </xf>
    <xf fontId="5035" applyFont="true" borderId="8" applyBorder="true" applyNumberFormat="true" numFmtId="1" fillId="22" applyFill="true">
      <alignment horizontal="center" vertical="center"/>
    </xf>
    <xf fontId="5036" applyFont="true" borderId="8" applyBorder="true" applyNumberFormat="true" numFmtId="167" fillId="22" applyFill="true">
      <alignment horizontal="center" vertical="center"/>
    </xf>
    <xf fontId="5037" applyFont="true" borderId="8" applyBorder="true" applyNumberFormat="true" numFmtId="2" fillId="22" applyFill="true">
      <alignment horizontal="center" vertical="center"/>
    </xf>
    <xf fontId="5038" applyFont="true" borderId="8" applyBorder="true" applyNumberFormat="true" numFmtId="2" fillId="22" applyFill="true">
      <alignment horizontal="center" vertical="center"/>
    </xf>
    <xf fontId="5039" applyFont="true" borderId="8" applyBorder="true" applyNumberFormat="true" numFmtId="2" fillId="22" applyFill="true">
      <alignment horizontal="center" vertical="center"/>
    </xf>
    <xf fontId="5040" applyFont="true" borderId="8" applyBorder="true" applyNumberFormat="true" numFmtId="2" fillId="22" applyFill="true">
      <alignment horizontal="center" vertical="center"/>
    </xf>
    <xf fontId="5041" applyFont="true" borderId="8" applyBorder="true" applyNumberFormat="true" numFmtId="2" fillId="22" applyFill="true">
      <alignment horizontal="center" vertical="center"/>
    </xf>
    <xf fontId="5042" applyFont="true" borderId="8" applyBorder="true" applyNumberFormat="true" numFmtId="2" fillId="22" applyFill="true">
      <alignment horizontal="center" vertical="center"/>
    </xf>
    <xf fontId="5043" applyFont="true" borderId="8" applyBorder="true" applyNumberFormat="true" numFmtId="2" fillId="22" applyFill="true">
      <alignment horizontal="center" vertical="center"/>
    </xf>
    <xf fontId="5044" applyFont="true" borderId="8" applyBorder="true" applyNumberFormat="true" numFmtId="2" fillId="22" applyFill="true">
      <alignment horizontal="center" vertical="center"/>
    </xf>
    <xf fontId="5045" applyFont="true" borderId="8" applyBorder="true" applyNumberFormat="true" numFmtId="2" fillId="22" applyFill="true">
      <alignment horizontal="center" vertical="center"/>
    </xf>
    <xf fontId="5046" applyFont="true" borderId="8" applyBorder="true" applyNumberFormat="true" numFmtId="2" fillId="22" applyFill="true">
      <alignment horizontal="center" vertical="center"/>
    </xf>
    <xf fontId="5047" applyFont="true" borderId="8" applyBorder="true" applyNumberFormat="true" numFmtId="2" fillId="22" applyFill="true">
      <alignment horizontal="center" vertical="center"/>
    </xf>
    <xf fontId="5048" applyFont="true" borderId="8" applyBorder="true" applyNumberFormat="true" numFmtId="2" fillId="22" applyFill="true">
      <alignment horizontal="center" vertical="center"/>
    </xf>
    <xf fontId="5049" applyFont="true" borderId="8" applyBorder="true" applyNumberFormat="true" numFmtId="2" fillId="22" applyFill="true">
      <alignment horizontal="center" vertical="center"/>
    </xf>
    <xf fontId="5050" applyFont="true" borderId="8" applyBorder="true" applyNumberFormat="true" numFmtId="2" fillId="22" applyFill="true">
      <alignment horizontal="center" vertical="center"/>
    </xf>
    <xf fontId="5051" applyFont="true" borderId="8" applyBorder="true" applyNumberFormat="true" numFmtId="2" fillId="22" applyFill="true">
      <alignment horizontal="center" vertical="center"/>
    </xf>
    <xf fontId="5052" applyFont="true" borderId="8" applyBorder="true" applyNumberFormat="true" numFmtId="2" fillId="22" applyFill="true">
      <alignment horizontal="center" vertical="center"/>
    </xf>
    <xf fontId="5053" applyFont="true" borderId="8" applyBorder="true" applyNumberFormat="true" numFmtId="2" fillId="22" applyFill="true">
      <alignment horizontal="center" vertical="center"/>
    </xf>
    <xf fontId="5054" applyFont="true" borderId="8" applyBorder="true" applyNumberFormat="true" numFmtId="2" fillId="22" applyFill="true">
      <alignment horizontal="center" vertical="center"/>
    </xf>
    <xf fontId="5055" applyFont="true" borderId="8" applyBorder="true" applyNumberFormat="true" numFmtId="2" fillId="22" applyFill="true">
      <alignment horizontal="center" vertical="center"/>
    </xf>
    <xf fontId="5056" applyFont="true" borderId="8" applyBorder="true" applyNumberFormat="true" numFmtId="2" fillId="22" applyFill="true">
      <alignment horizontal="center" vertical="center"/>
    </xf>
    <xf fontId="5057" applyFont="true" borderId="8" applyBorder="true" applyNumberFormat="true" numFmtId="2" fillId="22" applyFill="true">
      <alignment horizontal="center" vertical="center"/>
    </xf>
    <xf fontId="5058" applyFont="true" borderId="8" applyBorder="true" applyNumberFormat="true" numFmtId="2" fillId="22" applyFill="true">
      <alignment horizontal="center" vertical="center"/>
    </xf>
    <xf fontId="5059" applyFont="true" borderId="8" applyBorder="true" applyNumberFormat="true" numFmtId="2" fillId="22" applyFill="true">
      <alignment horizontal="center" vertical="center"/>
    </xf>
    <xf fontId="5060" applyFont="true" borderId="8" applyBorder="true" applyNumberFormat="true" numFmtId="2" fillId="22" applyFill="true">
      <alignment horizontal="center" vertical="center"/>
    </xf>
    <xf fontId="5061" applyFont="true" borderId="8" applyBorder="true" applyNumberFormat="true" numFmtId="2" fillId="22" applyFill="true">
      <alignment horizontal="center" vertical="center"/>
    </xf>
    <xf fontId="5062" applyFont="true" borderId="8" applyBorder="true" applyNumberFormat="true" numFmtId="2" fillId="22" applyFill="true">
      <alignment horizontal="center" vertical="center"/>
    </xf>
    <xf fontId="5063" applyFont="true" borderId="8" applyBorder="true" applyNumberFormat="true" numFmtId="2" fillId="22" applyFill="true">
      <alignment horizontal="center" vertical="center"/>
    </xf>
    <xf fontId="5064" applyFont="true" borderId="8" applyBorder="true" applyNumberFormat="true" numFmtId="2" fillId="22" applyFill="true">
      <alignment horizontal="center" vertical="center"/>
    </xf>
    <xf fontId="5065" applyFont="true" borderId="8" applyBorder="true" applyNumberFormat="true" numFmtId="2" fillId="22" applyFill="true">
      <alignment horizontal="center" vertical="center"/>
    </xf>
    <xf fontId="5066" applyFont="true" borderId="8" applyBorder="true" applyNumberFormat="true" numFmtId="2" fillId="22" applyFill="true">
      <alignment horizontal="center" vertical="center"/>
    </xf>
    <xf fontId="5067" applyFont="true" borderId="8" applyBorder="true" applyNumberFormat="true" numFmtId="2" fillId="22" applyFill="true">
      <alignment horizontal="center" vertical="center"/>
    </xf>
    <xf fontId="5068" applyFont="true" borderId="8" applyBorder="true" applyNumberFormat="true" numFmtId="2" fillId="22" applyFill="true">
      <alignment horizontal="center" vertical="center"/>
    </xf>
    <xf fontId="5069" applyFont="true" borderId="8" applyBorder="true" applyNumberFormat="true" numFmtId="2" fillId="22" applyFill="true">
      <alignment horizontal="center" vertical="center"/>
    </xf>
    <xf fontId="5070" applyFont="true" borderId="8" applyBorder="true" applyNumberFormat="true" numFmtId="2" fillId="22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applyNumberFormat="true" numFmtId="165" fillId="19" applyFill="true">
      <alignment horizontal="left" vertical="center"/>
    </xf>
    <xf fontId="5306" applyFont="true" borderId="8" applyBorder="true" applyNumberFormat="true" numFmtId="165" fillId="22" applyFill="true">
      <alignment horizontal="center" vertical="center"/>
    </xf>
    <xf fontId="5307" applyFont="true" borderId="8" applyBorder="true" applyNumberFormat="true" numFmtId="166" fillId="22" applyFill="true">
      <alignment horizontal="center" vertical="center"/>
    </xf>
    <xf fontId="5308" applyFont="true" borderId="8" applyBorder="true" applyNumberFormat="true" numFmtId="1" fillId="22" applyFill="true">
      <alignment horizontal="center" vertical="center"/>
    </xf>
    <xf fontId="5309" applyFont="true" borderId="8" applyBorder="true" applyNumberFormat="true" numFmtId="1" fillId="22" applyFill="true">
      <alignment horizontal="center" vertical="center"/>
    </xf>
    <xf fontId="5310" applyFont="true" borderId="8" applyBorder="true" applyNumberFormat="true" numFmtId="1" fillId="22" applyFill="true">
      <alignment horizontal="center" vertical="center"/>
    </xf>
    <xf fontId="5311" applyFont="true" borderId="8" applyBorder="true" applyNumberFormat="true" numFmtId="1" fillId="22" applyFill="true">
      <alignment horizontal="center" vertical="center"/>
    </xf>
    <xf fontId="5312" applyFont="true" borderId="8" applyBorder="true" applyNumberFormat="true" numFmtId="1" fillId="22" applyFill="true">
      <alignment horizontal="center" vertical="center"/>
    </xf>
    <xf fontId="5313" applyFont="true" borderId="8" applyBorder="true" applyNumberFormat="true" numFmtId="1" fillId="22" applyFill="true">
      <alignment horizontal="center" vertical="center"/>
    </xf>
    <xf fontId="5314" applyFont="true" borderId="8" applyBorder="true" applyNumberFormat="true" numFmtId="1" fillId="22" applyFill="true">
      <alignment horizontal="center" vertical="center"/>
    </xf>
    <xf fontId="5315" applyFont="true" borderId="8" applyBorder="true" applyNumberFormat="true" numFmtId="165" fillId="22" applyFill="true">
      <alignment horizontal="center" vertical="center"/>
    </xf>
    <xf fontId="5316" applyFont="true" borderId="8" applyBorder="true" applyNumberFormat="true" numFmtId="165" fillId="22" applyFill="true">
      <alignment horizontal="center" vertical="center"/>
    </xf>
    <xf fontId="5317" applyFont="true" borderId="8" applyBorder="true" applyNumberFormat="true" numFmtId="1" fillId="22" applyFill="true">
      <alignment horizontal="center" vertical="center"/>
    </xf>
    <xf fontId="5318" applyFont="true" borderId="8" applyBorder="true" applyNumberFormat="true" numFmtId="1" fillId="22" applyFill="true">
      <alignment horizontal="center" vertical="center"/>
    </xf>
    <xf fontId="5319" applyFont="true" borderId="8" applyBorder="true" applyNumberFormat="true" numFmtId="1" fillId="22" applyFill="true">
      <alignment horizontal="center" vertical="center"/>
    </xf>
    <xf fontId="5320" applyFont="true" borderId="8" applyBorder="true" applyNumberFormat="true" numFmtId="167" fillId="22" applyFill="true">
      <alignment horizontal="center" vertical="center"/>
    </xf>
    <xf fontId="5321" applyFont="true" borderId="8" applyBorder="true" applyNumberFormat="true" numFmtId="1" fillId="22" applyFill="true">
      <alignment horizontal="center" vertical="center"/>
    </xf>
    <xf fontId="5322" applyFont="true" borderId="8" applyBorder="true" applyNumberFormat="true" numFmtId="167" fillId="22" applyFill="true">
      <alignment horizontal="center" vertical="center"/>
    </xf>
    <xf fontId="5323" applyFont="true" borderId="8" applyBorder="true" applyNumberFormat="true" numFmtId="1" fillId="22" applyFill="true">
      <alignment horizontal="center" vertical="center"/>
    </xf>
    <xf fontId="5324" applyFont="true" borderId="8" applyBorder="true" applyNumberFormat="true" numFmtId="167" fillId="22" applyFill="true">
      <alignment horizontal="center" vertical="center"/>
    </xf>
    <xf fontId="5325" applyFont="true" borderId="8" applyBorder="true" applyNumberFormat="true" numFmtId="1" fillId="22" applyFill="true">
      <alignment horizontal="center" vertical="center"/>
    </xf>
    <xf fontId="5326" applyFont="true" borderId="8" applyBorder="true" applyNumberFormat="true" numFmtId="167" fillId="22" applyFill="true">
      <alignment horizontal="center" vertical="center"/>
    </xf>
    <xf fontId="5327" applyFont="true" borderId="8" applyBorder="true" applyNumberFormat="true" numFmtId="167" fillId="22" applyFill="true">
      <alignment horizontal="center" vertical="center"/>
    </xf>
    <xf fontId="5328" applyFont="true" borderId="8" applyBorder="true" applyNumberFormat="true" numFmtId="1" fillId="22" applyFill="true">
      <alignment horizontal="center" vertical="center"/>
    </xf>
    <xf fontId="5329" applyFont="true" borderId="8" applyBorder="true" applyNumberFormat="true" numFmtId="1" fillId="22" applyFill="true">
      <alignment horizontal="center" vertical="center"/>
    </xf>
    <xf fontId="5330" applyFont="true" borderId="8" applyBorder="true" applyNumberFormat="true" numFmtId="1" fillId="22" applyFill="true">
      <alignment horizontal="center" vertical="center"/>
    </xf>
    <xf fontId="5331" applyFont="true" borderId="8" applyBorder="true" applyNumberFormat="true" numFmtId="167" fillId="22" applyFill="true">
      <alignment horizontal="center" vertical="center"/>
    </xf>
    <xf fontId="5332" applyFont="true" borderId="8" applyBorder="true" applyNumberFormat="true" numFmtId="166" fillId="22" applyFill="true">
      <alignment horizontal="center" vertical="center"/>
    </xf>
    <xf fontId="5333" applyFont="true" borderId="8" applyBorder="true" applyNumberFormat="true" numFmtId="166" fillId="22" applyFill="true">
      <alignment horizontal="center" vertical="center"/>
    </xf>
    <xf fontId="5334" applyFont="true" borderId="8" applyBorder="true" applyNumberFormat="true" numFmtId="1" fillId="22" applyFill="true">
      <alignment horizontal="center" vertical="center"/>
    </xf>
    <xf fontId="5335" applyFont="true" borderId="8" applyBorder="true" applyNumberFormat="true" numFmtId="1" fillId="22" applyFill="true">
      <alignment horizontal="center" vertical="center"/>
    </xf>
    <xf fontId="5336" applyFont="true" borderId="8" applyBorder="true" applyNumberFormat="true" numFmtId="1" fillId="22" applyFill="true">
      <alignment horizontal="center" vertical="center"/>
    </xf>
    <xf fontId="5337" applyFont="true" borderId="8" applyBorder="true" applyNumberFormat="true" numFmtId="167" fillId="22" applyFill="true">
      <alignment horizontal="center" vertical="center"/>
    </xf>
    <xf fontId="5338" applyFont="true" borderId="8" applyBorder="true" applyNumberFormat="true" numFmtId="1" fillId="22" applyFill="true">
      <alignment horizontal="center" vertical="center"/>
    </xf>
    <xf fontId="5339" applyFont="true" borderId="8" applyBorder="true" applyNumberFormat="true" numFmtId="167" fillId="22" applyFill="true">
      <alignment horizontal="center" vertical="center"/>
    </xf>
    <xf fontId="5340" applyFont="true" borderId="8" applyBorder="true" applyNumberFormat="true" numFmtId="1" fillId="22" applyFill="true">
      <alignment horizontal="center" vertical="center"/>
    </xf>
    <xf fontId="5341" applyFont="true" borderId="8" applyBorder="true" applyNumberFormat="true" numFmtId="1" fillId="22" applyFill="true">
      <alignment horizontal="center" vertical="center"/>
    </xf>
    <xf fontId="5342" applyFont="true" borderId="8" applyBorder="true" applyNumberFormat="true" numFmtId="1" fillId="22" applyFill="true">
      <alignment horizontal="center" vertical="center"/>
    </xf>
    <xf fontId="5343" applyFont="true" borderId="8" applyBorder="true" applyNumberFormat="true" numFmtId="1" fillId="22" applyFill="true">
      <alignment horizontal="center" vertical="center"/>
    </xf>
    <xf fontId="5344" applyFont="true" borderId="8" applyBorder="true" applyNumberFormat="true" numFmtId="167" fillId="22" applyFill="true">
      <alignment horizontal="center" vertical="center"/>
    </xf>
    <xf fontId="5345" applyFont="true" borderId="8" applyBorder="true" applyNumberFormat="true" numFmtId="1" fillId="22" applyFill="true">
      <alignment horizontal="center" vertical="center"/>
    </xf>
    <xf fontId="5346" applyFont="true" borderId="8" applyBorder="true" applyNumberFormat="true" numFmtId="167" fillId="22" applyFill="true">
      <alignment horizontal="center" vertical="center"/>
    </xf>
    <xf fontId="5347" applyFont="true" borderId="8" applyBorder="true" applyNumberFormat="true" numFmtId="1" fillId="22" applyFill="true">
      <alignment horizontal="center" vertical="center"/>
    </xf>
    <xf fontId="5348" applyFont="true" borderId="8" applyBorder="true" applyNumberFormat="true" numFmtId="167" fillId="22" applyFill="true">
      <alignment horizontal="center" vertical="center"/>
    </xf>
    <xf fontId="5349" applyFont="true" borderId="8" applyBorder="true" applyNumberFormat="true" numFmtId="2" fillId="22" applyFill="true">
      <alignment horizontal="center" vertical="center"/>
    </xf>
    <xf fontId="5350" applyFont="true" borderId="8" applyBorder="true" applyNumberFormat="true" numFmtId="2" fillId="22" applyFill="true">
      <alignment horizontal="center" vertical="center"/>
    </xf>
    <xf fontId="5351" applyFont="true" borderId="8" applyBorder="true" applyNumberFormat="true" numFmtId="2" fillId="22" applyFill="true">
      <alignment horizontal="center" vertical="center"/>
    </xf>
    <xf fontId="5352" applyFont="true" borderId="8" applyBorder="true" applyNumberFormat="true" numFmtId="2" fillId="22" applyFill="true">
      <alignment horizontal="center" vertical="center"/>
    </xf>
    <xf fontId="5353" applyFont="true" borderId="8" applyBorder="true" applyNumberFormat="true" numFmtId="2" fillId="22" applyFill="true">
      <alignment horizontal="center" vertical="center"/>
    </xf>
    <xf fontId="5354" applyFont="true" borderId="8" applyBorder="true" applyNumberFormat="true" numFmtId="2" fillId="22" applyFill="true">
      <alignment horizontal="center" vertical="center"/>
    </xf>
    <xf fontId="5355" applyFont="true" borderId="8" applyBorder="true" applyNumberFormat="true" numFmtId="2" fillId="22" applyFill="true">
      <alignment horizontal="center" vertical="center"/>
    </xf>
    <xf fontId="5356" applyFont="true" borderId="8" applyBorder="true" applyNumberFormat="true" numFmtId="2" fillId="22" applyFill="true">
      <alignment horizontal="center" vertical="center"/>
    </xf>
    <xf fontId="5357" applyFont="true" borderId="8" applyBorder="true" applyNumberFormat="true" numFmtId="2" fillId="22" applyFill="true">
      <alignment horizontal="center" vertical="center"/>
    </xf>
    <xf fontId="5358" applyFont="true" borderId="8" applyBorder="true" applyNumberFormat="true" numFmtId="2" fillId="22" applyFill="true">
      <alignment horizontal="center" vertical="center"/>
    </xf>
    <xf fontId="5359" applyFont="true" borderId="8" applyBorder="true" applyNumberFormat="true" numFmtId="2" fillId="22" applyFill="true">
      <alignment horizontal="center" vertical="center"/>
    </xf>
    <xf fontId="5360" applyFont="true" borderId="8" applyBorder="true" applyNumberFormat="true" numFmtId="2" fillId="22" applyFill="true">
      <alignment horizontal="center" vertical="center"/>
    </xf>
    <xf fontId="5361" applyFont="true" borderId="8" applyBorder="true" applyNumberFormat="true" numFmtId="2" fillId="22" applyFill="true">
      <alignment horizontal="center" vertical="center"/>
    </xf>
    <xf fontId="5362" applyFont="true" borderId="8" applyBorder="true" applyNumberFormat="true" numFmtId="2" fillId="22" applyFill="true">
      <alignment horizontal="center" vertical="center"/>
    </xf>
    <xf fontId="5363" applyFont="true" borderId="8" applyBorder="true" applyNumberFormat="true" numFmtId="2" fillId="22" applyFill="true">
      <alignment horizontal="center" vertical="center"/>
    </xf>
    <xf fontId="5364" applyFont="true" borderId="8" applyBorder="true" applyNumberFormat="true" numFmtId="2" fillId="22" applyFill="true">
      <alignment horizontal="center" vertical="center"/>
    </xf>
    <xf fontId="5365" applyFont="true" borderId="8" applyBorder="true" applyNumberFormat="true" numFmtId="2" fillId="22" applyFill="true">
      <alignment horizontal="center" vertical="center"/>
    </xf>
    <xf fontId="5366" applyFont="true" borderId="8" applyBorder="true" applyNumberFormat="true" numFmtId="2" fillId="22" applyFill="true">
      <alignment horizontal="center" vertical="center"/>
    </xf>
    <xf fontId="5367" applyFont="true" borderId="8" applyBorder="true" applyNumberFormat="true" numFmtId="2" fillId="22" applyFill="true">
      <alignment horizontal="center" vertical="center"/>
    </xf>
    <xf fontId="5368" applyFont="true" borderId="8" applyBorder="true" applyNumberFormat="true" numFmtId="2" fillId="22" applyFill="true">
      <alignment horizontal="center" vertical="center"/>
    </xf>
    <xf fontId="5369" applyFont="true" borderId="8" applyBorder="true" applyNumberFormat="true" numFmtId="2" fillId="22" applyFill="true">
      <alignment horizontal="center" vertical="center"/>
    </xf>
    <xf fontId="5370" applyFont="true" borderId="8" applyBorder="true" applyNumberFormat="true" numFmtId="2" fillId="22" applyFill="true">
      <alignment horizontal="center" vertical="center"/>
    </xf>
    <xf fontId="5371" applyFont="true" borderId="8" applyBorder="true" applyNumberFormat="true" numFmtId="2" fillId="22" applyFill="true">
      <alignment horizontal="center" vertical="center"/>
    </xf>
    <xf fontId="5372" applyFont="true" borderId="8" applyBorder="true" applyNumberFormat="true" numFmtId="2" fillId="22" applyFill="true">
      <alignment horizontal="center" vertical="center"/>
    </xf>
    <xf fontId="5373" applyFont="true" borderId="8" applyBorder="true" applyNumberFormat="true" numFmtId="2" fillId="22" applyFill="true">
      <alignment horizontal="center" vertical="center"/>
    </xf>
    <xf fontId="5374" applyFont="true" borderId="8" applyBorder="true" applyNumberFormat="true" numFmtId="2" fillId="22" applyFill="true">
      <alignment horizontal="center" vertical="center"/>
    </xf>
    <xf fontId="5375" applyFont="true" borderId="8" applyBorder="true" applyNumberFormat="true" numFmtId="2" fillId="22" applyFill="true">
      <alignment horizontal="center" vertical="center"/>
    </xf>
    <xf fontId="5376" applyFont="true" borderId="8" applyBorder="true" applyNumberFormat="true" numFmtId="2" fillId="22" applyFill="true">
      <alignment horizontal="center" vertical="center"/>
    </xf>
    <xf fontId="5377" applyFont="true" borderId="8" applyBorder="true" applyNumberFormat="true" numFmtId="2" fillId="22" applyFill="true">
      <alignment horizontal="center" vertical="center"/>
    </xf>
    <xf fontId="5378" applyFont="true" borderId="8" applyBorder="true" applyNumberFormat="true" numFmtId="2" fillId="22" applyFill="true">
      <alignment horizontal="center" vertical="center"/>
    </xf>
    <xf fontId="5379" applyFont="true" borderId="8" applyBorder="true" applyNumberFormat="true" numFmtId="2" fillId="22" applyFill="true">
      <alignment horizontal="center" vertical="center"/>
    </xf>
    <xf fontId="5380" applyFont="true" borderId="8" applyBorder="true" applyNumberFormat="true" numFmtId="2" fillId="22" applyFill="true">
      <alignment horizontal="center" vertical="center"/>
    </xf>
    <xf fontId="5381" applyFont="true" borderId="8" applyBorder="true" applyNumberFormat="true" numFmtId="2" fillId="22" applyFill="true">
      <alignment horizontal="center" vertical="center"/>
    </xf>
    <xf fontId="5382" applyFont="true" borderId="8" applyBorder="true" applyNumberFormat="true" numFmtId="2" fillId="22" applyFill="true">
      <alignment horizontal="center" vertical="center"/>
    </xf>
    <xf fontId="5383" applyFont="true" borderId="8" applyBorder="true" applyNumberFormat="true" numFmtId="165" fillId="19" applyFill="true">
      <alignment horizontal="left" vertical="center"/>
    </xf>
    <xf fontId="5384" applyFont="true" borderId="8" applyBorder="true" applyNumberFormat="true" numFmtId="165" fillId="22" applyFill="true">
      <alignment horizontal="center" vertical="center"/>
    </xf>
    <xf fontId="5385" applyFont="true" borderId="8" applyBorder="true" applyNumberFormat="true" numFmtId="166" fillId="22" applyFill="true">
      <alignment horizontal="center" vertical="center"/>
    </xf>
    <xf fontId="5386" applyFont="true" borderId="8" applyBorder="true" applyNumberFormat="true" numFmtId="1" fillId="22" applyFill="true">
      <alignment horizontal="center" vertical="center"/>
    </xf>
    <xf fontId="5387" applyFont="true" borderId="8" applyBorder="true" applyNumberFormat="true" numFmtId="1" fillId="22" applyFill="true">
      <alignment horizontal="center" vertical="center"/>
    </xf>
    <xf fontId="5388" applyFont="true" borderId="8" applyBorder="true" applyNumberFormat="true" numFmtId="1" fillId="22" applyFill="true">
      <alignment horizontal="center" vertical="center"/>
    </xf>
    <xf fontId="5389" applyFont="true" borderId="8" applyBorder="true" applyNumberFormat="true" numFmtId="1" fillId="22" applyFill="true">
      <alignment horizontal="center" vertical="center"/>
    </xf>
    <xf fontId="5390" applyFont="true" borderId="8" applyBorder="true" applyNumberFormat="true" numFmtId="1" fillId="22" applyFill="true">
      <alignment horizontal="center" vertical="center"/>
    </xf>
    <xf fontId="5391" applyFont="true" borderId="8" applyBorder="true" applyNumberFormat="true" numFmtId="1" fillId="22" applyFill="true">
      <alignment horizontal="center" vertical="center"/>
    </xf>
    <xf fontId="5392" applyFont="true" borderId="8" applyBorder="true" applyNumberFormat="true" numFmtId="1" fillId="22" applyFill="true">
      <alignment horizontal="center" vertical="center"/>
    </xf>
    <xf fontId="5393" applyFont="true" borderId="8" applyBorder="true" applyNumberFormat="true" numFmtId="165" fillId="22" applyFill="true">
      <alignment horizontal="center" vertical="center"/>
    </xf>
    <xf fontId="5394" applyFont="true" borderId="8" applyBorder="true" applyNumberFormat="true" numFmtId="165" fillId="22" applyFill="true">
      <alignment horizontal="center" vertical="center"/>
    </xf>
    <xf fontId="5395" applyFont="true" borderId="8" applyBorder="true" applyNumberFormat="true" numFmtId="1" fillId="22" applyFill="true">
      <alignment horizontal="center" vertical="center"/>
    </xf>
    <xf fontId="5396" applyFont="true" borderId="8" applyBorder="true" applyNumberFormat="true" numFmtId="1" fillId="22" applyFill="true">
      <alignment horizontal="center" vertical="center"/>
    </xf>
    <xf fontId="5397" applyFont="true" borderId="8" applyBorder="true" applyNumberFormat="true" numFmtId="1" fillId="22" applyFill="true">
      <alignment horizontal="center" vertical="center"/>
    </xf>
    <xf fontId="5398" applyFont="true" borderId="8" applyBorder="true" applyNumberFormat="true" numFmtId="167" fillId="22" applyFill="true">
      <alignment horizontal="center" vertical="center"/>
    </xf>
    <xf fontId="5399" applyFont="true" borderId="8" applyBorder="true" applyNumberFormat="true" numFmtId="1" fillId="22" applyFill="true">
      <alignment horizontal="center" vertical="center"/>
    </xf>
    <xf fontId="5400" applyFont="true" borderId="8" applyBorder="true" applyNumberFormat="true" numFmtId="167" fillId="22" applyFill="true">
      <alignment horizontal="center" vertical="center"/>
    </xf>
    <xf fontId="5401" applyFont="true" borderId="8" applyBorder="true" applyNumberFormat="true" numFmtId="1" fillId="22" applyFill="true">
      <alignment horizontal="center" vertical="center"/>
    </xf>
    <xf fontId="5402" applyFont="true" borderId="8" applyBorder="true" applyNumberFormat="true" numFmtId="167" fillId="22" applyFill="true">
      <alignment horizontal="center" vertical="center"/>
    </xf>
    <xf fontId="5403" applyFont="true" borderId="8" applyBorder="true" applyNumberFormat="true" numFmtId="1" fillId="22" applyFill="true">
      <alignment horizontal="center" vertical="center"/>
    </xf>
    <xf fontId="5404" applyFont="true" borderId="8" applyBorder="true" applyNumberFormat="true" numFmtId="167" fillId="22" applyFill="true">
      <alignment horizontal="center" vertical="center"/>
    </xf>
    <xf fontId="5405" applyFont="true" borderId="8" applyBorder="true" applyNumberFormat="true" numFmtId="167" fillId="22" applyFill="true">
      <alignment horizontal="center" vertical="center"/>
    </xf>
    <xf fontId="5406" applyFont="true" borderId="8" applyBorder="true" applyNumberFormat="true" numFmtId="1" fillId="22" applyFill="true">
      <alignment horizontal="center" vertical="center"/>
    </xf>
    <xf fontId="5407" applyFont="true" borderId="8" applyBorder="true" applyNumberFormat="true" numFmtId="1" fillId="22" applyFill="true">
      <alignment horizontal="center" vertical="center"/>
    </xf>
    <xf fontId="5408" applyFont="true" borderId="8" applyBorder="true" applyNumberFormat="true" numFmtId="1" fillId="22" applyFill="true">
      <alignment horizontal="center" vertical="center"/>
    </xf>
    <xf fontId="5409" applyFont="true" borderId="8" applyBorder="true" applyNumberFormat="true" numFmtId="167" fillId="22" applyFill="true">
      <alignment horizontal="center" vertical="center"/>
    </xf>
    <xf fontId="5410" applyFont="true" borderId="8" applyBorder="true" applyNumberFormat="true" numFmtId="166" fillId="22" applyFill="true">
      <alignment horizontal="center" vertical="center"/>
    </xf>
    <xf fontId="5411" applyFont="true" borderId="8" applyBorder="true" applyNumberFormat="true" numFmtId="166" fillId="22" applyFill="true">
      <alignment horizontal="center" vertical="center"/>
    </xf>
    <xf fontId="5412" applyFont="true" borderId="8" applyBorder="true" applyNumberFormat="true" numFmtId="1" fillId="22" applyFill="true">
      <alignment horizontal="center" vertical="center"/>
    </xf>
    <xf fontId="5413" applyFont="true" borderId="8" applyBorder="true" applyNumberFormat="true" numFmtId="1" fillId="22" applyFill="true">
      <alignment horizontal="center" vertical="center"/>
    </xf>
    <xf fontId="5414" applyFont="true" borderId="8" applyBorder="true" applyNumberFormat="true" numFmtId="1" fillId="22" applyFill="true">
      <alignment horizontal="center" vertical="center"/>
    </xf>
    <xf fontId="5415" applyFont="true" borderId="8" applyBorder="true" applyNumberFormat="true" numFmtId="167" fillId="22" applyFill="true">
      <alignment horizontal="center" vertical="center"/>
    </xf>
    <xf fontId="5416" applyFont="true" borderId="8" applyBorder="true" applyNumberFormat="true" numFmtId="1" fillId="22" applyFill="true">
      <alignment horizontal="center" vertical="center"/>
    </xf>
    <xf fontId="5417" applyFont="true" borderId="8" applyBorder="true" applyNumberFormat="true" numFmtId="167" fillId="22" applyFill="true">
      <alignment horizontal="center" vertical="center"/>
    </xf>
    <xf fontId="5418" applyFont="true" borderId="8" applyBorder="true" applyNumberFormat="true" numFmtId="1" fillId="22" applyFill="true">
      <alignment horizontal="center" vertical="center"/>
    </xf>
    <xf fontId="5419" applyFont="true" borderId="8" applyBorder="true" applyNumberFormat="true" numFmtId="1" fillId="22" applyFill="true">
      <alignment horizontal="center" vertical="center"/>
    </xf>
    <xf fontId="5420" applyFont="true" borderId="8" applyBorder="true" applyNumberFormat="true" numFmtId="1" fillId="22" applyFill="true">
      <alignment horizontal="center" vertical="center"/>
    </xf>
    <xf fontId="5421" applyFont="true" borderId="8" applyBorder="true" applyNumberFormat="true" numFmtId="1" fillId="22" applyFill="true">
      <alignment horizontal="center" vertical="center"/>
    </xf>
    <xf fontId="5422" applyFont="true" borderId="8" applyBorder="true" applyNumberFormat="true" numFmtId="167" fillId="22" applyFill="true">
      <alignment horizontal="center" vertical="center"/>
    </xf>
    <xf fontId="5423" applyFont="true" borderId="8" applyBorder="true" applyNumberFormat="true" numFmtId="1" fillId="22" applyFill="true">
      <alignment horizontal="center" vertical="center"/>
    </xf>
    <xf fontId="5424" applyFont="true" borderId="8" applyBorder="true" applyNumberFormat="true" numFmtId="167" fillId="22" applyFill="true">
      <alignment horizontal="center" vertical="center"/>
    </xf>
    <xf fontId="5425" applyFont="true" borderId="8" applyBorder="true" applyNumberFormat="true" numFmtId="1" fillId="22" applyFill="true">
      <alignment horizontal="center" vertical="center"/>
    </xf>
    <xf fontId="5426" applyFont="true" borderId="8" applyBorder="true" applyNumberFormat="true" numFmtId="167" fillId="22" applyFill="true">
      <alignment horizontal="center" vertical="center"/>
    </xf>
    <xf fontId="5427" applyFont="true" borderId="8" applyBorder="true" applyNumberFormat="true" numFmtId="2" fillId="22" applyFill="true">
      <alignment horizontal="center" vertical="center"/>
    </xf>
    <xf fontId="5428" applyFont="true" borderId="8" applyBorder="true" applyNumberFormat="true" numFmtId="2" fillId="22" applyFill="true">
      <alignment horizontal="center" vertical="center"/>
    </xf>
    <xf fontId="5429" applyFont="true" borderId="8" applyBorder="true" applyNumberFormat="true" numFmtId="2" fillId="22" applyFill="true">
      <alignment horizontal="center" vertical="center"/>
    </xf>
    <xf fontId="5430" applyFont="true" borderId="8" applyBorder="true" applyNumberFormat="true" numFmtId="2" fillId="22" applyFill="true">
      <alignment horizontal="center" vertical="center"/>
    </xf>
    <xf fontId="5431" applyFont="true" borderId="8" applyBorder="true" applyNumberFormat="true" numFmtId="2" fillId="22" applyFill="true">
      <alignment horizontal="center" vertical="center"/>
    </xf>
    <xf fontId="5432" applyFont="true" borderId="8" applyBorder="true" applyNumberFormat="true" numFmtId="2" fillId="22" applyFill="true">
      <alignment horizontal="center" vertical="center"/>
    </xf>
    <xf fontId="5433" applyFont="true" borderId="8" applyBorder="true" applyNumberFormat="true" numFmtId="2" fillId="22" applyFill="true">
      <alignment horizontal="center" vertical="center"/>
    </xf>
    <xf fontId="5434" applyFont="true" borderId="8" applyBorder="true" applyNumberFormat="true" numFmtId="2" fillId="22" applyFill="true">
      <alignment horizontal="center" vertical="center"/>
    </xf>
    <xf fontId="5435" applyFont="true" borderId="8" applyBorder="true" applyNumberFormat="true" numFmtId="2" fillId="22" applyFill="true">
      <alignment horizontal="center" vertical="center"/>
    </xf>
    <xf fontId="5436" applyFont="true" borderId="8" applyBorder="true" applyNumberFormat="true" numFmtId="2" fillId="22" applyFill="true">
      <alignment horizontal="center" vertical="center"/>
    </xf>
    <xf fontId="5437" applyFont="true" borderId="8" applyBorder="true" applyNumberFormat="true" numFmtId="2" fillId="22" applyFill="true">
      <alignment horizontal="center" vertical="center"/>
    </xf>
    <xf fontId="5438" applyFont="true" borderId="8" applyBorder="true" applyNumberFormat="true" numFmtId="2" fillId="22" applyFill="true">
      <alignment horizontal="center" vertical="center"/>
    </xf>
    <xf fontId="5439" applyFont="true" borderId="8" applyBorder="true" applyNumberFormat="true" numFmtId="2" fillId="22" applyFill="true">
      <alignment horizontal="center" vertical="center"/>
    </xf>
    <xf fontId="5440" applyFont="true" borderId="8" applyBorder="true" applyNumberFormat="true" numFmtId="2" fillId="22" applyFill="true">
      <alignment horizontal="center" vertical="center"/>
    </xf>
    <xf fontId="5441" applyFont="true" borderId="8" applyBorder="true" applyNumberFormat="true" numFmtId="2" fillId="22" applyFill="true">
      <alignment horizontal="center" vertical="center"/>
    </xf>
    <xf fontId="5442" applyFont="true" borderId="8" applyBorder="true" applyNumberFormat="true" numFmtId="2" fillId="22" applyFill="true">
      <alignment horizontal="center" vertical="center"/>
    </xf>
    <xf fontId="5443" applyFont="true" borderId="8" applyBorder="true" applyNumberFormat="true" numFmtId="2" fillId="22" applyFill="true">
      <alignment horizontal="center" vertical="center"/>
    </xf>
    <xf fontId="5444" applyFont="true" borderId="8" applyBorder="true" applyNumberFormat="true" numFmtId="2" fillId="22" applyFill="true">
      <alignment horizontal="center" vertical="center"/>
    </xf>
    <xf fontId="5445" applyFont="true" borderId="8" applyBorder="true" applyNumberFormat="true" numFmtId="2" fillId="22" applyFill="true">
      <alignment horizontal="center" vertical="center"/>
    </xf>
    <xf fontId="5446" applyFont="true" borderId="8" applyBorder="true" applyNumberFormat="true" numFmtId="2" fillId="22" applyFill="true">
      <alignment horizontal="center" vertical="center"/>
    </xf>
    <xf fontId="5447" applyFont="true" borderId="8" applyBorder="true" applyNumberFormat="true" numFmtId="2" fillId="22" applyFill="true">
      <alignment horizontal="center" vertical="center"/>
    </xf>
    <xf fontId="5448" applyFont="true" borderId="8" applyBorder="true" applyNumberFormat="true" numFmtId="2" fillId="22" applyFill="true">
      <alignment horizontal="center" vertical="center"/>
    </xf>
    <xf fontId="5449" applyFont="true" borderId="8" applyBorder="true" applyNumberFormat="true" numFmtId="2" fillId="22" applyFill="true">
      <alignment horizontal="center" vertical="center"/>
    </xf>
    <xf fontId="5450" applyFont="true" borderId="8" applyBorder="true" applyNumberFormat="true" numFmtId="2" fillId="22" applyFill="true">
      <alignment horizontal="center" vertical="center"/>
    </xf>
    <xf fontId="5451" applyFont="true" borderId="8" applyBorder="true" applyNumberFormat="true" numFmtId="2" fillId="22" applyFill="true">
      <alignment horizontal="center" vertical="center"/>
    </xf>
    <xf fontId="5452" applyFont="true" borderId="8" applyBorder="true" applyNumberFormat="true" numFmtId="2" fillId="22" applyFill="true">
      <alignment horizontal="center" vertical="center"/>
    </xf>
    <xf fontId="5453" applyFont="true" borderId="8" applyBorder="true" applyNumberFormat="true" numFmtId="2" fillId="22" applyFill="true">
      <alignment horizontal="center" vertical="center"/>
    </xf>
    <xf fontId="5454" applyFont="true" borderId="8" applyBorder="true" applyNumberFormat="true" numFmtId="2" fillId="22" applyFill="true">
      <alignment horizontal="center" vertical="center"/>
    </xf>
    <xf fontId="5455" applyFont="true" borderId="8" applyBorder="true" applyNumberFormat="true" numFmtId="2" fillId="22" applyFill="true">
      <alignment horizontal="center" vertical="center"/>
    </xf>
    <xf fontId="5456" applyFont="true" borderId="8" applyBorder="true" applyNumberFormat="true" numFmtId="2" fillId="22" applyFill="true">
      <alignment horizontal="center" vertical="center"/>
    </xf>
    <xf fontId="5457" applyFont="true" borderId="8" applyBorder="true" applyNumberFormat="true" numFmtId="2" fillId="22" applyFill="true">
      <alignment horizontal="center" vertical="center"/>
    </xf>
    <xf fontId="5458" applyFont="true" borderId="8" applyBorder="true" applyNumberFormat="true" numFmtId="2" fillId="22" applyFill="true">
      <alignment horizontal="center" vertical="center"/>
    </xf>
    <xf fontId="5459" applyFont="true" borderId="8" applyBorder="true" applyNumberFormat="true" numFmtId="2" fillId="22" applyFill="true">
      <alignment horizontal="center" vertical="center"/>
    </xf>
    <xf fontId="5460" applyFont="true" borderId="8" applyBorder="true" applyNumberFormat="true" numFmtId="2" fillId="22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applyNumberFormat="true" numFmtId="165" fillId="19" applyFill="true">
      <alignment horizontal="left" vertical="center"/>
    </xf>
    <xf fontId="5540" applyFont="true" borderId="8" applyBorder="true" applyNumberFormat="true" numFmtId="165" fillId="22" applyFill="true">
      <alignment horizontal="center" vertical="center"/>
    </xf>
    <xf fontId="5541" applyFont="true" borderId="8" applyBorder="true" applyNumberFormat="true" numFmtId="166" fillId="22" applyFill="true">
      <alignment horizontal="center" vertical="center"/>
    </xf>
    <xf fontId="5542" applyFont="true" borderId="8" applyBorder="true" applyNumberFormat="true" numFmtId="1" fillId="22" applyFill="true">
      <alignment horizontal="center" vertical="center"/>
    </xf>
    <xf fontId="5543" applyFont="true" borderId="8" applyBorder="true" applyNumberFormat="true" numFmtId="1" fillId="22" applyFill="true">
      <alignment horizontal="center" vertical="center"/>
    </xf>
    <xf fontId="5544" applyFont="true" borderId="8" applyBorder="true" applyNumberFormat="true" numFmtId="1" fillId="22" applyFill="true">
      <alignment horizontal="center" vertical="center"/>
    </xf>
    <xf fontId="5545" applyFont="true" borderId="8" applyBorder="true" applyNumberFormat="true" numFmtId="1" fillId="22" applyFill="true">
      <alignment horizontal="center" vertical="center"/>
    </xf>
    <xf fontId="5546" applyFont="true" borderId="8" applyBorder="true" applyNumberFormat="true" numFmtId="1" fillId="22" applyFill="true">
      <alignment horizontal="center" vertical="center"/>
    </xf>
    <xf fontId="5547" applyFont="true" borderId="8" applyBorder="true" applyNumberFormat="true" numFmtId="1" fillId="22" applyFill="true">
      <alignment horizontal="center" vertical="center"/>
    </xf>
    <xf fontId="5548" applyFont="true" borderId="8" applyBorder="true" applyNumberFormat="true" numFmtId="1" fillId="22" applyFill="true">
      <alignment horizontal="center" vertical="center"/>
    </xf>
    <xf fontId="5549" applyFont="true" borderId="8" applyBorder="true" applyNumberFormat="true" numFmtId="165" fillId="22" applyFill="true">
      <alignment horizontal="center" vertical="center"/>
    </xf>
    <xf fontId="5550" applyFont="true" borderId="8" applyBorder="true" applyNumberFormat="true" numFmtId="165" fillId="22" applyFill="true">
      <alignment horizontal="center" vertical="center"/>
    </xf>
    <xf fontId="5551" applyFont="true" borderId="8" applyBorder="true" applyNumberFormat="true" numFmtId="1" fillId="22" applyFill="true">
      <alignment horizontal="center" vertical="center"/>
    </xf>
    <xf fontId="5552" applyFont="true" borderId="8" applyBorder="true" applyNumberFormat="true" numFmtId="1" fillId="22" applyFill="true">
      <alignment horizontal="center" vertical="center"/>
    </xf>
    <xf fontId="5553" applyFont="true" borderId="8" applyBorder="true" applyNumberFormat="true" numFmtId="1" fillId="22" applyFill="true">
      <alignment horizontal="center" vertical="center"/>
    </xf>
    <xf fontId="5554" applyFont="true" borderId="8" applyBorder="true" applyNumberFormat="true" numFmtId="167" fillId="22" applyFill="true">
      <alignment horizontal="center" vertical="center"/>
    </xf>
    <xf fontId="5555" applyFont="true" borderId="8" applyBorder="true" applyNumberFormat="true" numFmtId="1" fillId="22" applyFill="true">
      <alignment horizontal="center" vertical="center"/>
    </xf>
    <xf fontId="5556" applyFont="true" borderId="8" applyBorder="true" applyNumberFormat="true" numFmtId="167" fillId="22" applyFill="true">
      <alignment horizontal="center" vertical="center"/>
    </xf>
    <xf fontId="5557" applyFont="true" borderId="8" applyBorder="true" applyNumberFormat="true" numFmtId="1" fillId="22" applyFill="true">
      <alignment horizontal="center" vertical="center"/>
    </xf>
    <xf fontId="5558" applyFont="true" borderId="8" applyBorder="true" applyNumberFormat="true" numFmtId="167" fillId="22" applyFill="true">
      <alignment horizontal="center" vertical="center"/>
    </xf>
    <xf fontId="5559" applyFont="true" borderId="8" applyBorder="true" applyNumberFormat="true" numFmtId="1" fillId="22" applyFill="true">
      <alignment horizontal="center" vertical="center"/>
    </xf>
    <xf fontId="5560" applyFont="true" borderId="8" applyBorder="true" applyNumberFormat="true" numFmtId="167" fillId="22" applyFill="true">
      <alignment horizontal="center" vertical="center"/>
    </xf>
    <xf fontId="5561" applyFont="true" borderId="8" applyBorder="true" applyNumberFormat="true" numFmtId="167" fillId="22" applyFill="true">
      <alignment horizontal="center" vertical="center"/>
    </xf>
    <xf fontId="5562" applyFont="true" borderId="8" applyBorder="true" applyNumberFormat="true" numFmtId="1" fillId="22" applyFill="true">
      <alignment horizontal="center" vertical="center"/>
    </xf>
    <xf fontId="5563" applyFont="true" borderId="8" applyBorder="true" applyNumberFormat="true" numFmtId="1" fillId="22" applyFill="true">
      <alignment horizontal="center" vertical="center"/>
    </xf>
    <xf fontId="5564" applyFont="true" borderId="8" applyBorder="true" applyNumberFormat="true" numFmtId="1" fillId="22" applyFill="true">
      <alignment horizontal="center" vertical="center"/>
    </xf>
    <xf fontId="5565" applyFont="true" borderId="8" applyBorder="true" applyNumberFormat="true" numFmtId="167" fillId="22" applyFill="true">
      <alignment horizontal="center" vertical="center"/>
    </xf>
    <xf fontId="5566" applyFont="true" borderId="8" applyBorder="true" applyNumberFormat="true" numFmtId="166" fillId="22" applyFill="true">
      <alignment horizontal="center" vertical="center"/>
    </xf>
    <xf fontId="5567" applyFont="true" borderId="8" applyBorder="true" applyNumberFormat="true" numFmtId="166" fillId="22" applyFill="true">
      <alignment horizontal="center" vertical="center"/>
    </xf>
    <xf fontId="5568" applyFont="true" borderId="8" applyBorder="true" applyNumberFormat="true" numFmtId="1" fillId="22" applyFill="true">
      <alignment horizontal="center" vertical="center"/>
    </xf>
    <xf fontId="5569" applyFont="true" borderId="8" applyBorder="true" applyNumberFormat="true" numFmtId="1" fillId="22" applyFill="true">
      <alignment horizontal="center" vertical="center"/>
    </xf>
    <xf fontId="5570" applyFont="true" borderId="8" applyBorder="true" applyNumberFormat="true" numFmtId="1" fillId="22" applyFill="true">
      <alignment horizontal="center" vertical="center"/>
    </xf>
    <xf fontId="5571" applyFont="true" borderId="8" applyBorder="true" applyNumberFormat="true" numFmtId="167" fillId="22" applyFill="true">
      <alignment horizontal="center" vertical="center"/>
    </xf>
    <xf fontId="5572" applyFont="true" borderId="8" applyBorder="true" applyNumberFormat="true" numFmtId="1" fillId="22" applyFill="true">
      <alignment horizontal="center" vertical="center"/>
    </xf>
    <xf fontId="5573" applyFont="true" borderId="8" applyBorder="true" applyNumberFormat="true" numFmtId="167" fillId="22" applyFill="true">
      <alignment horizontal="center" vertical="center"/>
    </xf>
    <xf fontId="5574" applyFont="true" borderId="8" applyBorder="true" applyNumberFormat="true" numFmtId="1" fillId="22" applyFill="true">
      <alignment horizontal="center" vertical="center"/>
    </xf>
    <xf fontId="5575" applyFont="true" borderId="8" applyBorder="true" applyNumberFormat="true" numFmtId="1" fillId="22" applyFill="true">
      <alignment horizontal="center" vertical="center"/>
    </xf>
    <xf fontId="5576" applyFont="true" borderId="8" applyBorder="true" applyNumberFormat="true" numFmtId="1" fillId="22" applyFill="true">
      <alignment horizontal="center" vertical="center"/>
    </xf>
    <xf fontId="5577" applyFont="true" borderId="8" applyBorder="true" applyNumberFormat="true" numFmtId="1" fillId="22" applyFill="true">
      <alignment horizontal="center" vertical="center"/>
    </xf>
    <xf fontId="5578" applyFont="true" borderId="8" applyBorder="true" applyNumberFormat="true" numFmtId="167" fillId="22" applyFill="true">
      <alignment horizontal="center" vertical="center"/>
    </xf>
    <xf fontId="5579" applyFont="true" borderId="8" applyBorder="true" applyNumberFormat="true" numFmtId="1" fillId="22" applyFill="true">
      <alignment horizontal="center" vertical="center"/>
    </xf>
    <xf fontId="5580" applyFont="true" borderId="8" applyBorder="true" applyNumberFormat="true" numFmtId="167" fillId="22" applyFill="true">
      <alignment horizontal="center" vertical="center"/>
    </xf>
    <xf fontId="5581" applyFont="true" borderId="8" applyBorder="true" applyNumberFormat="true" numFmtId="1" fillId="22" applyFill="true">
      <alignment horizontal="center" vertical="center"/>
    </xf>
    <xf fontId="5582" applyFont="true" borderId="8" applyBorder="true" applyNumberFormat="true" numFmtId="167" fillId="22" applyFill="true">
      <alignment horizontal="center" vertical="center"/>
    </xf>
    <xf fontId="5583" applyFont="true" borderId="8" applyBorder="true" applyNumberFormat="true" numFmtId="2" fillId="22" applyFill="true">
      <alignment horizontal="center" vertical="center"/>
    </xf>
    <xf fontId="5584" applyFont="true" borderId="8" applyBorder="true" applyNumberFormat="true" numFmtId="2" fillId="22" applyFill="true">
      <alignment horizontal="center" vertical="center"/>
    </xf>
    <xf fontId="5585" applyFont="true" borderId="8" applyBorder="true" applyNumberFormat="true" numFmtId="2" fillId="22" applyFill="true">
      <alignment horizontal="center" vertical="center"/>
    </xf>
    <xf fontId="5586" applyFont="true" borderId="8" applyBorder="true" applyNumberFormat="true" numFmtId="2" fillId="22" applyFill="true">
      <alignment horizontal="center" vertical="center"/>
    </xf>
    <xf fontId="5587" applyFont="true" borderId="8" applyBorder="true" applyNumberFormat="true" numFmtId="2" fillId="22" applyFill="true">
      <alignment horizontal="center" vertical="center"/>
    </xf>
    <xf fontId="5588" applyFont="true" borderId="8" applyBorder="true" applyNumberFormat="true" numFmtId="2" fillId="22" applyFill="true">
      <alignment horizontal="center" vertical="center"/>
    </xf>
    <xf fontId="5589" applyFont="true" borderId="8" applyBorder="true" applyNumberFormat="true" numFmtId="2" fillId="22" applyFill="true">
      <alignment horizontal="center" vertical="center"/>
    </xf>
    <xf fontId="5590" applyFont="true" borderId="8" applyBorder="true" applyNumberFormat="true" numFmtId="2" fillId="22" applyFill="true">
      <alignment horizontal="center" vertical="center"/>
    </xf>
    <xf fontId="5591" applyFont="true" borderId="8" applyBorder="true" applyNumberFormat="true" numFmtId="2" fillId="22" applyFill="true">
      <alignment horizontal="center" vertical="center"/>
    </xf>
    <xf fontId="5592" applyFont="true" borderId="8" applyBorder="true" applyNumberFormat="true" numFmtId="2" fillId="22" applyFill="true">
      <alignment horizontal="center" vertical="center"/>
    </xf>
    <xf fontId="5593" applyFont="true" borderId="8" applyBorder="true" applyNumberFormat="true" numFmtId="2" fillId="22" applyFill="true">
      <alignment horizontal="center" vertical="center"/>
    </xf>
    <xf fontId="5594" applyFont="true" borderId="8" applyBorder="true" applyNumberFormat="true" numFmtId="2" fillId="22" applyFill="true">
      <alignment horizontal="center" vertical="center"/>
    </xf>
    <xf fontId="5595" applyFont="true" borderId="8" applyBorder="true" applyNumberFormat="true" numFmtId="2" fillId="22" applyFill="true">
      <alignment horizontal="center" vertical="center"/>
    </xf>
    <xf fontId="5596" applyFont="true" borderId="8" applyBorder="true" applyNumberFormat="true" numFmtId="2" fillId="22" applyFill="true">
      <alignment horizontal="center" vertical="center"/>
    </xf>
    <xf fontId="5597" applyFont="true" borderId="8" applyBorder="true" applyNumberFormat="true" numFmtId="2" fillId="22" applyFill="true">
      <alignment horizontal="center" vertical="center"/>
    </xf>
    <xf fontId="5598" applyFont="true" borderId="8" applyBorder="true" applyNumberFormat="true" numFmtId="2" fillId="22" applyFill="true">
      <alignment horizontal="center" vertical="center"/>
    </xf>
    <xf fontId="5599" applyFont="true" borderId="8" applyBorder="true" applyNumberFormat="true" numFmtId="2" fillId="22" applyFill="true">
      <alignment horizontal="center" vertical="center"/>
    </xf>
    <xf fontId="5600" applyFont="true" borderId="8" applyBorder="true" applyNumberFormat="true" numFmtId="2" fillId="22" applyFill="true">
      <alignment horizontal="center" vertical="center"/>
    </xf>
    <xf fontId="5601" applyFont="true" borderId="8" applyBorder="true" applyNumberFormat="true" numFmtId="2" fillId="22" applyFill="true">
      <alignment horizontal="center" vertical="center"/>
    </xf>
    <xf fontId="5602" applyFont="true" borderId="8" applyBorder="true" applyNumberFormat="true" numFmtId="2" fillId="22" applyFill="true">
      <alignment horizontal="center" vertical="center"/>
    </xf>
    <xf fontId="5603" applyFont="true" borderId="8" applyBorder="true" applyNumberFormat="true" numFmtId="2" fillId="22" applyFill="true">
      <alignment horizontal="center" vertical="center"/>
    </xf>
    <xf fontId="5604" applyFont="true" borderId="8" applyBorder="true" applyNumberFormat="true" numFmtId="2" fillId="22" applyFill="true">
      <alignment horizontal="center" vertical="center"/>
    </xf>
    <xf fontId="5605" applyFont="true" borderId="8" applyBorder="true" applyNumberFormat="true" numFmtId="2" fillId="22" applyFill="true">
      <alignment horizontal="center" vertical="center"/>
    </xf>
    <xf fontId="5606" applyFont="true" borderId="8" applyBorder="true" applyNumberFormat="true" numFmtId="2" fillId="22" applyFill="true">
      <alignment horizontal="center" vertical="center"/>
    </xf>
    <xf fontId="5607" applyFont="true" borderId="8" applyBorder="true" applyNumberFormat="true" numFmtId="2" fillId="22" applyFill="true">
      <alignment horizontal="center" vertical="center"/>
    </xf>
    <xf fontId="5608" applyFont="true" borderId="8" applyBorder="true" applyNumberFormat="true" numFmtId="2" fillId="22" applyFill="true">
      <alignment horizontal="center" vertical="center"/>
    </xf>
    <xf fontId="5609" applyFont="true" borderId="8" applyBorder="true" applyNumberFormat="true" numFmtId="2" fillId="22" applyFill="true">
      <alignment horizontal="center" vertical="center"/>
    </xf>
    <xf fontId="5610" applyFont="true" borderId="8" applyBorder="true" applyNumberFormat="true" numFmtId="2" fillId="22" applyFill="true">
      <alignment horizontal="center" vertical="center"/>
    </xf>
    <xf fontId="5611" applyFont="true" borderId="8" applyBorder="true" applyNumberFormat="true" numFmtId="2" fillId="22" applyFill="true">
      <alignment horizontal="center" vertical="center"/>
    </xf>
    <xf fontId="5612" applyFont="true" borderId="8" applyBorder="true" applyNumberFormat="true" numFmtId="2" fillId="22" applyFill="true">
      <alignment horizontal="center" vertical="center"/>
    </xf>
    <xf fontId="5613" applyFont="true" borderId="8" applyBorder="true" applyNumberFormat="true" numFmtId="2" fillId="22" applyFill="true">
      <alignment horizontal="center" vertical="center"/>
    </xf>
    <xf fontId="5614" applyFont="true" borderId="8" applyBorder="true" applyNumberFormat="true" numFmtId="2" fillId="22" applyFill="true">
      <alignment horizontal="center" vertical="center"/>
    </xf>
    <xf fontId="5615" applyFont="true" borderId="8" applyBorder="true" applyNumberFormat="true" numFmtId="2" fillId="22" applyFill="true">
      <alignment horizontal="center" vertical="center"/>
    </xf>
    <xf fontId="5616" applyFont="true" borderId="8" applyBorder="true" applyNumberFormat="true" numFmtId="2" fillId="22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applyNumberFormat="true" numFmtId="165" fillId="19" applyFill="true">
      <alignment horizontal="left" vertical="center"/>
    </xf>
    <xf fontId="5852" applyFont="true" borderId="8" applyBorder="true" applyNumberFormat="true" numFmtId="165" fillId="22" applyFill="true">
      <alignment horizontal="center" vertical="center"/>
    </xf>
    <xf fontId="5853" applyFont="true" borderId="8" applyBorder="true" applyNumberFormat="true" numFmtId="166" fillId="22" applyFill="true">
      <alignment horizontal="center" vertical="center"/>
    </xf>
    <xf fontId="5854" applyFont="true" borderId="8" applyBorder="true" applyNumberFormat="true" numFmtId="1" fillId="22" applyFill="true">
      <alignment horizontal="center" vertical="center"/>
    </xf>
    <xf fontId="5855" applyFont="true" borderId="8" applyBorder="true" applyNumberFormat="true" numFmtId="1" fillId="22" applyFill="true">
      <alignment horizontal="center" vertical="center"/>
    </xf>
    <xf fontId="5856" applyFont="true" borderId="8" applyBorder="true" applyNumberFormat="true" numFmtId="1" fillId="22" applyFill="true">
      <alignment horizontal="center" vertical="center"/>
    </xf>
    <xf fontId="5857" applyFont="true" borderId="8" applyBorder="true" applyNumberFormat="true" numFmtId="1" fillId="22" applyFill="true">
      <alignment horizontal="center" vertical="center"/>
    </xf>
    <xf fontId="5858" applyFont="true" borderId="8" applyBorder="true" applyNumberFormat="true" numFmtId="1" fillId="22" applyFill="true">
      <alignment horizontal="center" vertical="center"/>
    </xf>
    <xf fontId="5859" applyFont="true" borderId="8" applyBorder="true" applyNumberFormat="true" numFmtId="1" fillId="22" applyFill="true">
      <alignment horizontal="center" vertical="center"/>
    </xf>
    <xf fontId="5860" applyFont="true" borderId="8" applyBorder="true" applyNumberFormat="true" numFmtId="1" fillId="22" applyFill="true">
      <alignment horizontal="center" vertical="center"/>
    </xf>
    <xf fontId="5861" applyFont="true" borderId="8" applyBorder="true" applyNumberFormat="true" numFmtId="165" fillId="22" applyFill="true">
      <alignment horizontal="center" vertical="center"/>
    </xf>
    <xf fontId="5862" applyFont="true" borderId="8" applyBorder="true" applyNumberFormat="true" numFmtId="165" fillId="22" applyFill="true">
      <alignment horizontal="center" vertical="center"/>
    </xf>
    <xf fontId="5863" applyFont="true" borderId="8" applyBorder="true" applyNumberFormat="true" numFmtId="1" fillId="22" applyFill="true">
      <alignment horizontal="center" vertical="center"/>
    </xf>
    <xf fontId="5864" applyFont="true" borderId="8" applyBorder="true" applyNumberFormat="true" numFmtId="1" fillId="22" applyFill="true">
      <alignment horizontal="center" vertical="center"/>
    </xf>
    <xf fontId="5865" applyFont="true" borderId="8" applyBorder="true" applyNumberFormat="true" numFmtId="1" fillId="22" applyFill="true">
      <alignment horizontal="center" vertical="center"/>
    </xf>
    <xf fontId="5866" applyFont="true" borderId="8" applyBorder="true" applyNumberFormat="true" numFmtId="167" fillId="22" applyFill="true">
      <alignment horizontal="center" vertical="center"/>
    </xf>
    <xf fontId="5867" applyFont="true" borderId="8" applyBorder="true" applyNumberFormat="true" numFmtId="1" fillId="22" applyFill="true">
      <alignment horizontal="center" vertical="center"/>
    </xf>
    <xf fontId="5868" applyFont="true" borderId="8" applyBorder="true" applyNumberFormat="true" numFmtId="167" fillId="22" applyFill="true">
      <alignment horizontal="center" vertical="center"/>
    </xf>
    <xf fontId="5869" applyFont="true" borderId="8" applyBorder="true" applyNumberFormat="true" numFmtId="1" fillId="22" applyFill="true">
      <alignment horizontal="center" vertical="center"/>
    </xf>
    <xf fontId="5870" applyFont="true" borderId="8" applyBorder="true" applyNumberFormat="true" numFmtId="167" fillId="22" applyFill="true">
      <alignment horizontal="center" vertical="center"/>
    </xf>
    <xf fontId="5871" applyFont="true" borderId="8" applyBorder="true" applyNumberFormat="true" numFmtId="1" fillId="22" applyFill="true">
      <alignment horizontal="center" vertical="center"/>
    </xf>
    <xf fontId="5872" applyFont="true" borderId="8" applyBorder="true" applyNumberFormat="true" numFmtId="167" fillId="22" applyFill="true">
      <alignment horizontal="center" vertical="center"/>
    </xf>
    <xf fontId="5873" applyFont="true" borderId="8" applyBorder="true" applyNumberFormat="true" numFmtId="167" fillId="22" applyFill="true">
      <alignment horizontal="center" vertical="center"/>
    </xf>
    <xf fontId="5874" applyFont="true" borderId="8" applyBorder="true" applyNumberFormat="true" numFmtId="1" fillId="22" applyFill="true">
      <alignment horizontal="center" vertical="center"/>
    </xf>
    <xf fontId="5875" applyFont="true" borderId="8" applyBorder="true" applyNumberFormat="true" numFmtId="1" fillId="22" applyFill="true">
      <alignment horizontal="center" vertical="center"/>
    </xf>
    <xf fontId="5876" applyFont="true" borderId="8" applyBorder="true" applyNumberFormat="true" numFmtId="1" fillId="22" applyFill="true">
      <alignment horizontal="center" vertical="center"/>
    </xf>
    <xf fontId="5877" applyFont="true" borderId="8" applyBorder="true" applyNumberFormat="true" numFmtId="167" fillId="22" applyFill="true">
      <alignment horizontal="center" vertical="center"/>
    </xf>
    <xf fontId="5878" applyFont="true" borderId="8" applyBorder="true" applyNumberFormat="true" numFmtId="166" fillId="22" applyFill="true">
      <alignment horizontal="center" vertical="center"/>
    </xf>
    <xf fontId="5879" applyFont="true" borderId="8" applyBorder="true" applyNumberFormat="true" numFmtId="166" fillId="22" applyFill="true">
      <alignment horizontal="center" vertical="center"/>
    </xf>
    <xf fontId="5880" applyFont="true" borderId="8" applyBorder="true" applyNumberFormat="true" numFmtId="1" fillId="22" applyFill="true">
      <alignment horizontal="center" vertical="center"/>
    </xf>
    <xf fontId="5881" applyFont="true" borderId="8" applyBorder="true" applyNumberFormat="true" numFmtId="1" fillId="22" applyFill="true">
      <alignment horizontal="center" vertical="center"/>
    </xf>
    <xf fontId="5882" applyFont="true" borderId="8" applyBorder="true" applyNumberFormat="true" numFmtId="1" fillId="22" applyFill="true">
      <alignment horizontal="center" vertical="center"/>
    </xf>
    <xf fontId="5883" applyFont="true" borderId="8" applyBorder="true" applyNumberFormat="true" numFmtId="167" fillId="22" applyFill="true">
      <alignment horizontal="center" vertical="center"/>
    </xf>
    <xf fontId="5884" applyFont="true" borderId="8" applyBorder="true" applyNumberFormat="true" numFmtId="1" fillId="22" applyFill="true">
      <alignment horizontal="center" vertical="center"/>
    </xf>
    <xf fontId="5885" applyFont="true" borderId="8" applyBorder="true" applyNumberFormat="true" numFmtId="167" fillId="22" applyFill="true">
      <alignment horizontal="center" vertical="center"/>
    </xf>
    <xf fontId="5886" applyFont="true" borderId="8" applyBorder="true" applyNumberFormat="true" numFmtId="1" fillId="22" applyFill="true">
      <alignment horizontal="center" vertical="center"/>
    </xf>
    <xf fontId="5887" applyFont="true" borderId="8" applyBorder="true" applyNumberFormat="true" numFmtId="1" fillId="22" applyFill="true">
      <alignment horizontal="center" vertical="center"/>
    </xf>
    <xf fontId="5888" applyFont="true" borderId="8" applyBorder="true" applyNumberFormat="true" numFmtId="1" fillId="22" applyFill="true">
      <alignment horizontal="center" vertical="center"/>
    </xf>
    <xf fontId="5889" applyFont="true" borderId="8" applyBorder="true" applyNumberFormat="true" numFmtId="1" fillId="22" applyFill="true">
      <alignment horizontal="center" vertical="center"/>
    </xf>
    <xf fontId="5890" applyFont="true" borderId="8" applyBorder="true" applyNumberFormat="true" numFmtId="167" fillId="22" applyFill="true">
      <alignment horizontal="center" vertical="center"/>
    </xf>
    <xf fontId="5891" applyFont="true" borderId="8" applyBorder="true" applyNumberFormat="true" numFmtId="1" fillId="22" applyFill="true">
      <alignment horizontal="center" vertical="center"/>
    </xf>
    <xf fontId="5892" applyFont="true" borderId="8" applyBorder="true" applyNumberFormat="true" numFmtId="167" fillId="22" applyFill="true">
      <alignment horizontal="center" vertical="center"/>
    </xf>
    <xf fontId="5893" applyFont="true" borderId="8" applyBorder="true" applyNumberFormat="true" numFmtId="1" fillId="22" applyFill="true">
      <alignment horizontal="center" vertical="center"/>
    </xf>
    <xf fontId="5894" applyFont="true" borderId="8" applyBorder="true" applyNumberFormat="true" numFmtId="167" fillId="22" applyFill="true">
      <alignment horizontal="center" vertical="center"/>
    </xf>
    <xf fontId="5895" applyFont="true" borderId="8" applyBorder="true" applyNumberFormat="true" numFmtId="2" fillId="22" applyFill="true">
      <alignment horizontal="center" vertical="center"/>
    </xf>
    <xf fontId="5896" applyFont="true" borderId="8" applyBorder="true" applyNumberFormat="true" numFmtId="2" fillId="22" applyFill="true">
      <alignment horizontal="center" vertical="center"/>
    </xf>
    <xf fontId="5897" applyFont="true" borderId="8" applyBorder="true" applyNumberFormat="true" numFmtId="2" fillId="22" applyFill="true">
      <alignment horizontal="center" vertical="center"/>
    </xf>
    <xf fontId="5898" applyFont="true" borderId="8" applyBorder="true" applyNumberFormat="true" numFmtId="2" fillId="22" applyFill="true">
      <alignment horizontal="center" vertical="center"/>
    </xf>
    <xf fontId="5899" applyFont="true" borderId="8" applyBorder="true" applyNumberFormat="true" numFmtId="2" fillId="22" applyFill="true">
      <alignment horizontal="center" vertical="center"/>
    </xf>
    <xf fontId="5900" applyFont="true" borderId="8" applyBorder="true" applyNumberFormat="true" numFmtId="2" fillId="22" applyFill="true">
      <alignment horizontal="center" vertical="center"/>
    </xf>
    <xf fontId="5901" applyFont="true" borderId="8" applyBorder="true" applyNumberFormat="true" numFmtId="2" fillId="22" applyFill="true">
      <alignment horizontal="center" vertical="center"/>
    </xf>
    <xf fontId="5902" applyFont="true" borderId="8" applyBorder="true" applyNumberFormat="true" numFmtId="2" fillId="22" applyFill="true">
      <alignment horizontal="center" vertical="center"/>
    </xf>
    <xf fontId="5903" applyFont="true" borderId="8" applyBorder="true" applyNumberFormat="true" numFmtId="2" fillId="22" applyFill="true">
      <alignment horizontal="center" vertical="center"/>
    </xf>
    <xf fontId="5904" applyFont="true" borderId="8" applyBorder="true" applyNumberFormat="true" numFmtId="2" fillId="22" applyFill="true">
      <alignment horizontal="center" vertical="center"/>
    </xf>
    <xf fontId="5905" applyFont="true" borderId="8" applyBorder="true" applyNumberFormat="true" numFmtId="2" fillId="22" applyFill="true">
      <alignment horizontal="center" vertical="center"/>
    </xf>
    <xf fontId="5906" applyFont="true" borderId="8" applyBorder="true" applyNumberFormat="true" numFmtId="2" fillId="22" applyFill="true">
      <alignment horizontal="center" vertical="center"/>
    </xf>
    <xf fontId="5907" applyFont="true" borderId="8" applyBorder="true" applyNumberFormat="true" numFmtId="2" fillId="22" applyFill="true">
      <alignment horizontal="center" vertical="center"/>
    </xf>
    <xf fontId="5908" applyFont="true" borderId="8" applyBorder="true" applyNumberFormat="true" numFmtId="2" fillId="22" applyFill="true">
      <alignment horizontal="center" vertical="center"/>
    </xf>
    <xf fontId="5909" applyFont="true" borderId="8" applyBorder="true" applyNumberFormat="true" numFmtId="2" fillId="22" applyFill="true">
      <alignment horizontal="center" vertical="center"/>
    </xf>
    <xf fontId="5910" applyFont="true" borderId="8" applyBorder="true" applyNumberFormat="true" numFmtId="2" fillId="22" applyFill="true">
      <alignment horizontal="center" vertical="center"/>
    </xf>
    <xf fontId="5911" applyFont="true" borderId="8" applyBorder="true" applyNumberFormat="true" numFmtId="2" fillId="22" applyFill="true">
      <alignment horizontal="center" vertical="center"/>
    </xf>
    <xf fontId="5912" applyFont="true" borderId="8" applyBorder="true" applyNumberFormat="true" numFmtId="2" fillId="22" applyFill="true">
      <alignment horizontal="center" vertical="center"/>
    </xf>
    <xf fontId="5913" applyFont="true" borderId="8" applyBorder="true" applyNumberFormat="true" numFmtId="2" fillId="22" applyFill="true">
      <alignment horizontal="center" vertical="center"/>
    </xf>
    <xf fontId="5914" applyFont="true" borderId="8" applyBorder="true" applyNumberFormat="true" numFmtId="2" fillId="22" applyFill="true">
      <alignment horizontal="center" vertical="center"/>
    </xf>
    <xf fontId="5915" applyFont="true" borderId="8" applyBorder="true" applyNumberFormat="true" numFmtId="2" fillId="22" applyFill="true">
      <alignment horizontal="center" vertical="center"/>
    </xf>
    <xf fontId="5916" applyFont="true" borderId="8" applyBorder="true" applyNumberFormat="true" numFmtId="2" fillId="22" applyFill="true">
      <alignment horizontal="center" vertical="center"/>
    </xf>
    <xf fontId="5917" applyFont="true" borderId="8" applyBorder="true" applyNumberFormat="true" numFmtId="2" fillId="22" applyFill="true">
      <alignment horizontal="center" vertical="center"/>
    </xf>
    <xf fontId="5918" applyFont="true" borderId="8" applyBorder="true" applyNumberFormat="true" numFmtId="2" fillId="22" applyFill="true">
      <alignment horizontal="center" vertical="center"/>
    </xf>
    <xf fontId="5919" applyFont="true" borderId="8" applyBorder="true" applyNumberFormat="true" numFmtId="2" fillId="22" applyFill="true">
      <alignment horizontal="center" vertical="center"/>
    </xf>
    <xf fontId="5920" applyFont="true" borderId="8" applyBorder="true" applyNumberFormat="true" numFmtId="2" fillId="22" applyFill="true">
      <alignment horizontal="center" vertical="center"/>
    </xf>
    <xf fontId="5921" applyFont="true" borderId="8" applyBorder="true" applyNumberFormat="true" numFmtId="2" fillId="22" applyFill="true">
      <alignment horizontal="center" vertical="center"/>
    </xf>
    <xf fontId="5922" applyFont="true" borderId="8" applyBorder="true" applyNumberFormat="true" numFmtId="2" fillId="22" applyFill="true">
      <alignment horizontal="center" vertical="center"/>
    </xf>
    <xf fontId="5923" applyFont="true" borderId="8" applyBorder="true" applyNumberFormat="true" numFmtId="2" fillId="22" applyFill="true">
      <alignment horizontal="center" vertical="center"/>
    </xf>
    <xf fontId="5924" applyFont="true" borderId="8" applyBorder="true" applyNumberFormat="true" numFmtId="2" fillId="22" applyFill="true">
      <alignment horizontal="center" vertical="center"/>
    </xf>
    <xf fontId="5925" applyFont="true" borderId="8" applyBorder="true" applyNumberFormat="true" numFmtId="2" fillId="22" applyFill="true">
      <alignment horizontal="center" vertical="center"/>
    </xf>
    <xf fontId="5926" applyFont="true" borderId="8" applyBorder="true" applyNumberFormat="true" numFmtId="2" fillId="22" applyFill="true">
      <alignment horizontal="center" vertical="center"/>
    </xf>
    <xf fontId="5927" applyFont="true" borderId="8" applyBorder="true" applyNumberFormat="true" numFmtId="2" fillId="22" applyFill="true">
      <alignment horizontal="center" vertical="center"/>
    </xf>
    <xf fontId="5928" applyFont="true" borderId="8" applyBorder="true" applyNumberFormat="true" numFmtId="2" fillId="22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applyNumberFormat="true" numFmtId="165" fillId="19" applyFill="true">
      <alignment horizontal="left" vertical="center"/>
    </xf>
    <xf fontId="14276" applyFont="true" borderId="8" applyBorder="true" applyNumberFormat="true" numFmtId="165" fillId="22" applyFill="true">
      <alignment horizontal="center" vertical="center"/>
    </xf>
    <xf fontId="14277" applyFont="true" borderId="8" applyBorder="true" applyNumberFormat="true" numFmtId="166" fillId="22" applyFill="true">
      <alignment horizontal="center" vertical="center"/>
    </xf>
    <xf fontId="14278" applyFont="true" borderId="8" applyBorder="true" applyNumberFormat="true" numFmtId="1" fillId="22" applyFill="true">
      <alignment horizontal="center" vertical="center"/>
    </xf>
    <xf fontId="14279" applyFont="true" borderId="8" applyBorder="true" applyNumberFormat="true" numFmtId="1" fillId="22" applyFill="true">
      <alignment horizontal="center" vertical="center"/>
    </xf>
    <xf fontId="14280" applyFont="true" borderId="8" applyBorder="true" applyNumberFormat="true" numFmtId="1" fillId="22" applyFill="true">
      <alignment horizontal="center" vertical="center"/>
    </xf>
    <xf fontId="14281" applyFont="true" borderId="8" applyBorder="true" applyNumberFormat="true" numFmtId="1" fillId="22" applyFill="true">
      <alignment horizontal="center" vertical="center"/>
    </xf>
    <xf fontId="14282" applyFont="true" borderId="8" applyBorder="true" applyNumberFormat="true" numFmtId="1" fillId="22" applyFill="true">
      <alignment horizontal="center" vertical="center"/>
    </xf>
    <xf fontId="14283" applyFont="true" borderId="8" applyBorder="true" applyNumberFormat="true" numFmtId="1" fillId="22" applyFill="true">
      <alignment horizontal="center" vertical="center"/>
    </xf>
    <xf fontId="14284" applyFont="true" borderId="8" applyBorder="true" applyNumberFormat="true" numFmtId="1" fillId="22" applyFill="true">
      <alignment horizontal="center" vertical="center"/>
    </xf>
    <xf fontId="14285" applyFont="true" borderId="8" applyBorder="true" applyNumberFormat="true" numFmtId="165" fillId="22" applyFill="true">
      <alignment horizontal="center" vertical="center"/>
    </xf>
    <xf fontId="14286" applyFont="true" borderId="8" applyBorder="true" applyNumberFormat="true" numFmtId="165" fillId="22" applyFill="true">
      <alignment horizontal="center" vertical="center"/>
    </xf>
    <xf fontId="14287" applyFont="true" borderId="8" applyBorder="true" applyNumberFormat="true" numFmtId="1" fillId="22" applyFill="true">
      <alignment horizontal="center" vertical="center"/>
    </xf>
    <xf fontId="14288" applyFont="true" borderId="8" applyBorder="true" applyNumberFormat="true" numFmtId="1" fillId="22" applyFill="true">
      <alignment horizontal="center" vertical="center"/>
    </xf>
    <xf fontId="14289" applyFont="true" borderId="8" applyBorder="true" applyNumberFormat="true" numFmtId="1" fillId="22" applyFill="true">
      <alignment horizontal="center" vertical="center"/>
    </xf>
    <xf fontId="14290" applyFont="true" borderId="8" applyBorder="true" applyNumberFormat="true" numFmtId="167" fillId="22" applyFill="true">
      <alignment horizontal="center" vertical="center"/>
    </xf>
    <xf fontId="14291" applyFont="true" borderId="8" applyBorder="true" applyNumberFormat="true" numFmtId="1" fillId="22" applyFill="true">
      <alignment horizontal="center" vertical="center"/>
    </xf>
    <xf fontId="14292" applyFont="true" borderId="8" applyBorder="true" applyNumberFormat="true" numFmtId="167" fillId="22" applyFill="true">
      <alignment horizontal="center" vertical="center"/>
    </xf>
    <xf fontId="14293" applyFont="true" borderId="8" applyBorder="true" applyNumberFormat="true" numFmtId="1" fillId="22" applyFill="true">
      <alignment horizontal="center" vertical="center"/>
    </xf>
    <xf fontId="14294" applyFont="true" borderId="8" applyBorder="true" applyNumberFormat="true" numFmtId="167" fillId="22" applyFill="true">
      <alignment horizontal="center" vertical="center"/>
    </xf>
    <xf fontId="14295" applyFont="true" borderId="8" applyBorder="true" applyNumberFormat="true" numFmtId="1" fillId="22" applyFill="true">
      <alignment horizontal="center" vertical="center"/>
    </xf>
    <xf fontId="14296" applyFont="true" borderId="8" applyBorder="true" applyNumberFormat="true" numFmtId="167" fillId="22" applyFill="true">
      <alignment horizontal="center" vertical="center"/>
    </xf>
    <xf fontId="14297" applyFont="true" borderId="8" applyBorder="true" applyNumberFormat="true" numFmtId="167" fillId="22" applyFill="true">
      <alignment horizontal="center" vertical="center"/>
    </xf>
    <xf fontId="14298" applyFont="true" borderId="8" applyBorder="true" applyNumberFormat="true" numFmtId="1" fillId="22" applyFill="true">
      <alignment horizontal="center" vertical="center"/>
    </xf>
    <xf fontId="14299" applyFont="true" borderId="8" applyBorder="true" applyNumberFormat="true" numFmtId="1" fillId="22" applyFill="true">
      <alignment horizontal="center" vertical="center"/>
    </xf>
    <xf fontId="14300" applyFont="true" borderId="8" applyBorder="true" applyNumberFormat="true" numFmtId="1" fillId="22" applyFill="true">
      <alignment horizontal="center" vertical="center"/>
    </xf>
    <xf fontId="14301" applyFont="true" borderId="8" applyBorder="true" applyNumberFormat="true" numFmtId="167" fillId="22" applyFill="true">
      <alignment horizontal="center" vertical="center"/>
    </xf>
    <xf fontId="14302" applyFont="true" borderId="8" applyBorder="true" applyNumberFormat="true" numFmtId="166" fillId="22" applyFill="true">
      <alignment horizontal="center" vertical="center"/>
    </xf>
    <xf fontId="14303" applyFont="true" borderId="8" applyBorder="true" applyNumberFormat="true" numFmtId="166" fillId="22" applyFill="true">
      <alignment horizontal="center" vertical="center"/>
    </xf>
    <xf fontId="14304" applyFont="true" borderId="8" applyBorder="true" applyNumberFormat="true" numFmtId="1" fillId="22" applyFill="true">
      <alignment horizontal="center" vertical="center"/>
    </xf>
    <xf fontId="14305" applyFont="true" borderId="8" applyBorder="true" applyNumberFormat="true" numFmtId="1" fillId="22" applyFill="true">
      <alignment horizontal="center" vertical="center"/>
    </xf>
    <xf fontId="14306" applyFont="true" borderId="8" applyBorder="true" applyNumberFormat="true" numFmtId="1" fillId="22" applyFill="true">
      <alignment horizontal="center" vertical="center"/>
    </xf>
    <xf fontId="14307" applyFont="true" borderId="8" applyBorder="true" applyNumberFormat="true" numFmtId="167" fillId="22" applyFill="true">
      <alignment horizontal="center" vertical="center"/>
    </xf>
    <xf fontId="14308" applyFont="true" borderId="8" applyBorder="true" applyNumberFormat="true" numFmtId="1" fillId="22" applyFill="true">
      <alignment horizontal="center" vertical="center"/>
    </xf>
    <xf fontId="14309" applyFont="true" borderId="8" applyBorder="true" applyNumberFormat="true" numFmtId="167" fillId="22" applyFill="true">
      <alignment horizontal="center" vertical="center"/>
    </xf>
    <xf fontId="14310" applyFont="true" borderId="8" applyBorder="true" applyNumberFormat="true" numFmtId="1" fillId="22" applyFill="true">
      <alignment horizontal="center" vertical="center"/>
    </xf>
    <xf fontId="14311" applyFont="true" borderId="8" applyBorder="true" applyNumberFormat="true" numFmtId="1" fillId="22" applyFill="true">
      <alignment horizontal="center" vertical="center"/>
    </xf>
    <xf fontId="14312" applyFont="true" borderId="8" applyBorder="true" applyNumberFormat="true" numFmtId="1" fillId="22" applyFill="true">
      <alignment horizontal="center" vertical="center"/>
    </xf>
    <xf fontId="14313" applyFont="true" borderId="8" applyBorder="true" applyNumberFormat="true" numFmtId="1" fillId="22" applyFill="true">
      <alignment horizontal="center" vertical="center"/>
    </xf>
    <xf fontId="14314" applyFont="true" borderId="8" applyBorder="true" applyNumberFormat="true" numFmtId="167" fillId="22" applyFill="true">
      <alignment horizontal="center" vertical="center"/>
    </xf>
    <xf fontId="14315" applyFont="true" borderId="8" applyBorder="true" applyNumberFormat="true" numFmtId="1" fillId="22" applyFill="true">
      <alignment horizontal="center" vertical="center"/>
    </xf>
    <xf fontId="14316" applyFont="true" borderId="8" applyBorder="true" applyNumberFormat="true" numFmtId="167" fillId="22" applyFill="true">
      <alignment horizontal="center" vertical="center"/>
    </xf>
    <xf fontId="14317" applyFont="true" borderId="8" applyBorder="true" applyNumberFormat="true" numFmtId="1" fillId="22" applyFill="true">
      <alignment horizontal="center" vertical="center"/>
    </xf>
    <xf fontId="14318" applyFont="true" borderId="8" applyBorder="true" applyNumberFormat="true" numFmtId="167" fillId="22" applyFill="true">
      <alignment horizontal="center" vertical="center"/>
    </xf>
    <xf fontId="14319" applyFont="true" borderId="8" applyBorder="true" applyNumberFormat="true" numFmtId="2" fillId="22" applyFill="true">
      <alignment horizontal="center" vertical="center"/>
    </xf>
    <xf fontId="14320" applyFont="true" borderId="8" applyBorder="true" applyNumberFormat="true" numFmtId="2" fillId="22" applyFill="true">
      <alignment horizontal="center" vertical="center"/>
    </xf>
    <xf fontId="14321" applyFont="true" borderId="8" applyBorder="true" applyNumberFormat="true" numFmtId="2" fillId="22" applyFill="true">
      <alignment horizontal="center" vertical="center"/>
    </xf>
    <xf fontId="14322" applyFont="true" borderId="8" applyBorder="true" applyNumberFormat="true" numFmtId="2" fillId="22" applyFill="true">
      <alignment horizontal="center" vertical="center"/>
    </xf>
    <xf fontId="14323" applyFont="true" borderId="8" applyBorder="true" applyNumberFormat="true" numFmtId="2" fillId="22" applyFill="true">
      <alignment horizontal="center" vertical="center"/>
    </xf>
    <xf fontId="14324" applyFont="true" borderId="8" applyBorder="true" applyNumberFormat="true" numFmtId="2" fillId="22" applyFill="true">
      <alignment horizontal="center" vertical="center"/>
    </xf>
    <xf fontId="14325" applyFont="true" borderId="8" applyBorder="true" applyNumberFormat="true" numFmtId="2" fillId="22" applyFill="true">
      <alignment horizontal="center" vertical="center"/>
    </xf>
    <xf fontId="14326" applyFont="true" borderId="8" applyBorder="true" applyNumberFormat="true" numFmtId="2" fillId="22" applyFill="true">
      <alignment horizontal="center" vertical="center"/>
    </xf>
    <xf fontId="14327" applyFont="true" borderId="8" applyBorder="true" applyNumberFormat="true" numFmtId="2" fillId="22" applyFill="true">
      <alignment horizontal="center" vertical="center"/>
    </xf>
    <xf fontId="14328" applyFont="true" borderId="8" applyBorder="true" applyNumberFormat="true" numFmtId="2" fillId="22" applyFill="true">
      <alignment horizontal="center" vertical="center"/>
    </xf>
    <xf fontId="14329" applyFont="true" borderId="8" applyBorder="true" applyNumberFormat="true" numFmtId="2" fillId="22" applyFill="true">
      <alignment horizontal="center" vertical="center"/>
    </xf>
    <xf fontId="14330" applyFont="true" borderId="8" applyBorder="true" applyNumberFormat="true" numFmtId="2" fillId="22" applyFill="true">
      <alignment horizontal="center" vertical="center"/>
    </xf>
    <xf fontId="14331" applyFont="true" borderId="8" applyBorder="true" applyNumberFormat="true" numFmtId="2" fillId="22" applyFill="true">
      <alignment horizontal="center" vertical="center"/>
    </xf>
    <xf fontId="14332" applyFont="true" borderId="8" applyBorder="true" applyNumberFormat="true" numFmtId="2" fillId="22" applyFill="true">
      <alignment horizontal="center" vertical="center"/>
    </xf>
    <xf fontId="14333" applyFont="true" borderId="8" applyBorder="true" applyNumberFormat="true" numFmtId="2" fillId="22" applyFill="true">
      <alignment horizontal="center" vertical="center"/>
    </xf>
    <xf fontId="14334" applyFont="true" borderId="8" applyBorder="true" applyNumberFormat="true" numFmtId="2" fillId="22" applyFill="true">
      <alignment horizontal="center" vertical="center"/>
    </xf>
    <xf fontId="14335" applyFont="true" borderId="8" applyBorder="true" applyNumberFormat="true" numFmtId="2" fillId="22" applyFill="true">
      <alignment horizontal="center" vertical="center"/>
    </xf>
    <xf fontId="14336" applyFont="true" borderId="8" applyBorder="true" applyNumberFormat="true" numFmtId="2" fillId="22" applyFill="true">
      <alignment horizontal="center" vertical="center"/>
    </xf>
    <xf fontId="14337" applyFont="true" borderId="8" applyBorder="true" applyNumberFormat="true" numFmtId="2" fillId="22" applyFill="true">
      <alignment horizontal="center" vertical="center"/>
    </xf>
    <xf fontId="14338" applyFont="true" borderId="8" applyBorder="true" applyNumberFormat="true" numFmtId="2" fillId="22" applyFill="true">
      <alignment horizontal="center" vertical="center"/>
    </xf>
    <xf fontId="14339" applyFont="true" borderId="8" applyBorder="true" applyNumberFormat="true" numFmtId="2" fillId="22" applyFill="true">
      <alignment horizontal="center" vertical="center"/>
    </xf>
    <xf fontId="14340" applyFont="true" borderId="8" applyBorder="true" applyNumberFormat="true" numFmtId="2" fillId="22" applyFill="true">
      <alignment horizontal="center" vertical="center"/>
    </xf>
    <xf fontId="14341" applyFont="true" borderId="8" applyBorder="true" applyNumberFormat="true" numFmtId="2" fillId="22" applyFill="true">
      <alignment horizontal="center" vertical="center"/>
    </xf>
    <xf fontId="14342" applyFont="true" borderId="8" applyBorder="true" applyNumberFormat="true" numFmtId="2" fillId="22" applyFill="true">
      <alignment horizontal="center" vertical="center"/>
    </xf>
    <xf fontId="14343" applyFont="true" borderId="8" applyBorder="true" applyNumberFormat="true" numFmtId="2" fillId="22" applyFill="true">
      <alignment horizontal="center" vertical="center"/>
    </xf>
    <xf fontId="14344" applyFont="true" borderId="8" applyBorder="true" applyNumberFormat="true" numFmtId="2" fillId="22" applyFill="true">
      <alignment horizontal="center" vertical="center"/>
    </xf>
    <xf fontId="14345" applyFont="true" borderId="8" applyBorder="true" applyNumberFormat="true" numFmtId="2" fillId="22" applyFill="true">
      <alignment horizontal="center" vertical="center"/>
    </xf>
    <xf fontId="14346" applyFont="true" borderId="8" applyBorder="true" applyNumberFormat="true" numFmtId="2" fillId="22" applyFill="true">
      <alignment horizontal="center" vertical="center"/>
    </xf>
    <xf fontId="14347" applyFont="true" borderId="8" applyBorder="true" applyNumberFormat="true" numFmtId="2" fillId="22" applyFill="true">
      <alignment horizontal="center" vertical="center"/>
    </xf>
    <xf fontId="14348" applyFont="true" borderId="8" applyBorder="true" applyNumberFormat="true" numFmtId="2" fillId="22" applyFill="true">
      <alignment horizontal="center" vertical="center"/>
    </xf>
    <xf fontId="14349" applyFont="true" borderId="8" applyBorder="true" applyNumberFormat="true" numFmtId="2" fillId="22" applyFill="true">
      <alignment horizontal="center" vertical="center"/>
    </xf>
    <xf fontId="14350" applyFont="true" borderId="8" applyBorder="true" applyNumberFormat="true" numFmtId="2" fillId="22" applyFill="true">
      <alignment horizontal="center" vertical="center"/>
    </xf>
    <xf fontId="14351" applyFont="true" borderId="8" applyBorder="true" applyNumberFormat="true" numFmtId="2" fillId="22" applyFill="true">
      <alignment horizontal="center" vertical="center"/>
    </xf>
    <xf fontId="14352" applyFont="true" borderId="8" applyBorder="true" applyNumberFormat="true" numFmtId="2" fillId="22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applyNumberFormat="true" numFmtId="165" fillId="19" applyFill="true">
      <alignment horizontal="left" vertical="center"/>
    </xf>
    <xf fontId="14432" applyFont="true" borderId="8" applyBorder="true" applyNumberFormat="true" numFmtId="165" fillId="22" applyFill="true">
      <alignment horizontal="center" vertical="center"/>
    </xf>
    <xf fontId="14433" applyFont="true" borderId="8" applyBorder="true" applyNumberFormat="true" numFmtId="166" fillId="22" applyFill="true">
      <alignment horizontal="center" vertical="center"/>
    </xf>
    <xf fontId="14434" applyFont="true" borderId="8" applyBorder="true" applyNumberFormat="true" numFmtId="1" fillId="22" applyFill="true">
      <alignment horizontal="center" vertical="center"/>
    </xf>
    <xf fontId="14435" applyFont="true" borderId="8" applyBorder="true" applyNumberFormat="true" numFmtId="1" fillId="22" applyFill="true">
      <alignment horizontal="center" vertical="center"/>
    </xf>
    <xf fontId="14436" applyFont="true" borderId="8" applyBorder="true" applyNumberFormat="true" numFmtId="1" fillId="22" applyFill="true">
      <alignment horizontal="center" vertical="center"/>
    </xf>
    <xf fontId="14437" applyFont="true" borderId="8" applyBorder="true" applyNumberFormat="true" numFmtId="1" fillId="22" applyFill="true">
      <alignment horizontal="center" vertical="center"/>
    </xf>
    <xf fontId="14438" applyFont="true" borderId="8" applyBorder="true" applyNumberFormat="true" numFmtId="1" fillId="22" applyFill="true">
      <alignment horizontal="center" vertical="center"/>
    </xf>
    <xf fontId="14439" applyFont="true" borderId="8" applyBorder="true" applyNumberFormat="true" numFmtId="1" fillId="22" applyFill="true">
      <alignment horizontal="center" vertical="center"/>
    </xf>
    <xf fontId="14440" applyFont="true" borderId="8" applyBorder="true" applyNumberFormat="true" numFmtId="1" fillId="22" applyFill="true">
      <alignment horizontal="center" vertical="center"/>
    </xf>
    <xf fontId="14441" applyFont="true" borderId="8" applyBorder="true" applyNumberFormat="true" numFmtId="165" fillId="22" applyFill="true">
      <alignment horizontal="center" vertical="center"/>
    </xf>
    <xf fontId="14442" applyFont="true" borderId="8" applyBorder="true" applyNumberFormat="true" numFmtId="165" fillId="22" applyFill="true">
      <alignment horizontal="center" vertical="center"/>
    </xf>
    <xf fontId="14443" applyFont="true" borderId="8" applyBorder="true" applyNumberFormat="true" numFmtId="1" fillId="22" applyFill="true">
      <alignment horizontal="center" vertical="center"/>
    </xf>
    <xf fontId="14444" applyFont="true" borderId="8" applyBorder="true" applyNumberFormat="true" numFmtId="1" fillId="22" applyFill="true">
      <alignment horizontal="center" vertical="center"/>
    </xf>
    <xf fontId="14445" applyFont="true" borderId="8" applyBorder="true" applyNumberFormat="true" numFmtId="1" fillId="22" applyFill="true">
      <alignment horizontal="center" vertical="center"/>
    </xf>
    <xf fontId="14446" applyFont="true" borderId="8" applyBorder="true" applyNumberFormat="true" numFmtId="167" fillId="22" applyFill="true">
      <alignment horizontal="center" vertical="center"/>
    </xf>
    <xf fontId="14447" applyFont="true" borderId="8" applyBorder="true" applyNumberFormat="true" numFmtId="1" fillId="22" applyFill="true">
      <alignment horizontal="center" vertical="center"/>
    </xf>
    <xf fontId="14448" applyFont="true" borderId="8" applyBorder="true" applyNumberFormat="true" numFmtId="167" fillId="22" applyFill="true">
      <alignment horizontal="center" vertical="center"/>
    </xf>
    <xf fontId="14449" applyFont="true" borderId="8" applyBorder="true" applyNumberFormat="true" numFmtId="1" fillId="22" applyFill="true">
      <alignment horizontal="center" vertical="center"/>
    </xf>
    <xf fontId="14450" applyFont="true" borderId="8" applyBorder="true" applyNumberFormat="true" numFmtId="167" fillId="22" applyFill="true">
      <alignment horizontal="center" vertical="center"/>
    </xf>
    <xf fontId="14451" applyFont="true" borderId="8" applyBorder="true" applyNumberFormat="true" numFmtId="1" fillId="22" applyFill="true">
      <alignment horizontal="center" vertical="center"/>
    </xf>
    <xf fontId="14452" applyFont="true" borderId="8" applyBorder="true" applyNumberFormat="true" numFmtId="167" fillId="22" applyFill="true">
      <alignment horizontal="center" vertical="center"/>
    </xf>
    <xf fontId="14453" applyFont="true" borderId="8" applyBorder="true" applyNumberFormat="true" numFmtId="167" fillId="22" applyFill="true">
      <alignment horizontal="center" vertical="center"/>
    </xf>
    <xf fontId="14454" applyFont="true" borderId="8" applyBorder="true" applyNumberFormat="true" numFmtId="1" fillId="22" applyFill="true">
      <alignment horizontal="center" vertical="center"/>
    </xf>
    <xf fontId="14455" applyFont="true" borderId="8" applyBorder="true" applyNumberFormat="true" numFmtId="1" fillId="22" applyFill="true">
      <alignment horizontal="center" vertical="center"/>
    </xf>
    <xf fontId="14456" applyFont="true" borderId="8" applyBorder="true" applyNumberFormat="true" numFmtId="1" fillId="22" applyFill="true">
      <alignment horizontal="center" vertical="center"/>
    </xf>
    <xf fontId="14457" applyFont="true" borderId="8" applyBorder="true" applyNumberFormat="true" numFmtId="167" fillId="22" applyFill="true">
      <alignment horizontal="center" vertical="center"/>
    </xf>
    <xf fontId="14458" applyFont="true" borderId="8" applyBorder="true" applyNumberFormat="true" numFmtId="166" fillId="22" applyFill="true">
      <alignment horizontal="center" vertical="center"/>
    </xf>
    <xf fontId="14459" applyFont="true" borderId="8" applyBorder="true" applyNumberFormat="true" numFmtId="166" fillId="22" applyFill="true">
      <alignment horizontal="center" vertical="center"/>
    </xf>
    <xf fontId="14460" applyFont="true" borderId="8" applyBorder="true" applyNumberFormat="true" numFmtId="1" fillId="22" applyFill="true">
      <alignment horizontal="center" vertical="center"/>
    </xf>
    <xf fontId="14461" applyFont="true" borderId="8" applyBorder="true" applyNumberFormat="true" numFmtId="1" fillId="22" applyFill="true">
      <alignment horizontal="center" vertical="center"/>
    </xf>
    <xf fontId="14462" applyFont="true" borderId="8" applyBorder="true" applyNumberFormat="true" numFmtId="1" fillId="22" applyFill="true">
      <alignment horizontal="center" vertical="center"/>
    </xf>
    <xf fontId="14463" applyFont="true" borderId="8" applyBorder="true" applyNumberFormat="true" numFmtId="167" fillId="22" applyFill="true">
      <alignment horizontal="center" vertical="center"/>
    </xf>
    <xf fontId="14464" applyFont="true" borderId="8" applyBorder="true" applyNumberFormat="true" numFmtId="1" fillId="22" applyFill="true">
      <alignment horizontal="center" vertical="center"/>
    </xf>
    <xf fontId="14465" applyFont="true" borderId="8" applyBorder="true" applyNumberFormat="true" numFmtId="167" fillId="22" applyFill="true">
      <alignment horizontal="center" vertical="center"/>
    </xf>
    <xf fontId="14466" applyFont="true" borderId="8" applyBorder="true" applyNumberFormat="true" numFmtId="1" fillId="22" applyFill="true">
      <alignment horizontal="center" vertical="center"/>
    </xf>
    <xf fontId="14467" applyFont="true" borderId="8" applyBorder="true" applyNumberFormat="true" numFmtId="1" fillId="22" applyFill="true">
      <alignment horizontal="center" vertical="center"/>
    </xf>
    <xf fontId="14468" applyFont="true" borderId="8" applyBorder="true" applyNumberFormat="true" numFmtId="1" fillId="22" applyFill="true">
      <alignment horizontal="center" vertical="center"/>
    </xf>
    <xf fontId="14469" applyFont="true" borderId="8" applyBorder="true" applyNumberFormat="true" numFmtId="1" fillId="22" applyFill="true">
      <alignment horizontal="center" vertical="center"/>
    </xf>
    <xf fontId="14470" applyFont="true" borderId="8" applyBorder="true" applyNumberFormat="true" numFmtId="167" fillId="22" applyFill="true">
      <alignment horizontal="center" vertical="center"/>
    </xf>
    <xf fontId="14471" applyFont="true" borderId="8" applyBorder="true" applyNumberFormat="true" numFmtId="1" fillId="22" applyFill="true">
      <alignment horizontal="center" vertical="center"/>
    </xf>
    <xf fontId="14472" applyFont="true" borderId="8" applyBorder="true" applyNumberFormat="true" numFmtId="167" fillId="22" applyFill="true">
      <alignment horizontal="center" vertical="center"/>
    </xf>
    <xf fontId="14473" applyFont="true" borderId="8" applyBorder="true" applyNumberFormat="true" numFmtId="1" fillId="22" applyFill="true">
      <alignment horizontal="center" vertical="center"/>
    </xf>
    <xf fontId="14474" applyFont="true" borderId="8" applyBorder="true" applyNumberFormat="true" numFmtId="167" fillId="22" applyFill="true">
      <alignment horizontal="center" vertical="center"/>
    </xf>
    <xf fontId="14475" applyFont="true" borderId="8" applyBorder="true" applyNumberFormat="true" numFmtId="2" fillId="22" applyFill="true">
      <alignment horizontal="center" vertical="center"/>
    </xf>
    <xf fontId="14476" applyFont="true" borderId="8" applyBorder="true" applyNumberFormat="true" numFmtId="2" fillId="22" applyFill="true">
      <alignment horizontal="center" vertical="center"/>
    </xf>
    <xf fontId="14477" applyFont="true" borderId="8" applyBorder="true" applyNumberFormat="true" numFmtId="2" fillId="22" applyFill="true">
      <alignment horizontal="center" vertical="center"/>
    </xf>
    <xf fontId="14478" applyFont="true" borderId="8" applyBorder="true" applyNumberFormat="true" numFmtId="2" fillId="22" applyFill="true">
      <alignment horizontal="center" vertical="center"/>
    </xf>
    <xf fontId="14479" applyFont="true" borderId="8" applyBorder="true" applyNumberFormat="true" numFmtId="2" fillId="22" applyFill="true">
      <alignment horizontal="center" vertical="center"/>
    </xf>
    <xf fontId="14480" applyFont="true" borderId="8" applyBorder="true" applyNumberFormat="true" numFmtId="2" fillId="22" applyFill="true">
      <alignment horizontal="center" vertical="center"/>
    </xf>
    <xf fontId="14481" applyFont="true" borderId="8" applyBorder="true" applyNumberFormat="true" numFmtId="2" fillId="22" applyFill="true">
      <alignment horizontal="center" vertical="center"/>
    </xf>
    <xf fontId="14482" applyFont="true" borderId="8" applyBorder="true" applyNumberFormat="true" numFmtId="2" fillId="22" applyFill="true">
      <alignment horizontal="center" vertical="center"/>
    </xf>
    <xf fontId="14483" applyFont="true" borderId="8" applyBorder="true" applyNumberFormat="true" numFmtId="2" fillId="22" applyFill="true">
      <alignment horizontal="center" vertical="center"/>
    </xf>
    <xf fontId="14484" applyFont="true" borderId="8" applyBorder="true" applyNumberFormat="true" numFmtId="2" fillId="22" applyFill="true">
      <alignment horizontal="center" vertical="center"/>
    </xf>
    <xf fontId="14485" applyFont="true" borderId="8" applyBorder="true" applyNumberFormat="true" numFmtId="2" fillId="22" applyFill="true">
      <alignment horizontal="center" vertical="center"/>
    </xf>
    <xf fontId="14486" applyFont="true" borderId="8" applyBorder="true" applyNumberFormat="true" numFmtId="2" fillId="22" applyFill="true">
      <alignment horizontal="center" vertical="center"/>
    </xf>
    <xf fontId="14487" applyFont="true" borderId="8" applyBorder="true" applyNumberFormat="true" numFmtId="2" fillId="22" applyFill="true">
      <alignment horizontal="center" vertical="center"/>
    </xf>
    <xf fontId="14488" applyFont="true" borderId="8" applyBorder="true" applyNumberFormat="true" numFmtId="2" fillId="22" applyFill="true">
      <alignment horizontal="center" vertical="center"/>
    </xf>
    <xf fontId="14489" applyFont="true" borderId="8" applyBorder="true" applyNumberFormat="true" numFmtId="2" fillId="22" applyFill="true">
      <alignment horizontal="center" vertical="center"/>
    </xf>
    <xf fontId="14490" applyFont="true" borderId="8" applyBorder="true" applyNumberFormat="true" numFmtId="2" fillId="22" applyFill="true">
      <alignment horizontal="center" vertical="center"/>
    </xf>
    <xf fontId="14491" applyFont="true" borderId="8" applyBorder="true" applyNumberFormat="true" numFmtId="2" fillId="22" applyFill="true">
      <alignment horizontal="center" vertical="center"/>
    </xf>
    <xf fontId="14492" applyFont="true" borderId="8" applyBorder="true" applyNumberFormat="true" numFmtId="2" fillId="22" applyFill="true">
      <alignment horizontal="center" vertical="center"/>
    </xf>
    <xf fontId="14493" applyFont="true" borderId="8" applyBorder="true" applyNumberFormat="true" numFmtId="2" fillId="22" applyFill="true">
      <alignment horizontal="center" vertical="center"/>
    </xf>
    <xf fontId="14494" applyFont="true" borderId="8" applyBorder="true" applyNumberFormat="true" numFmtId="2" fillId="22" applyFill="true">
      <alignment horizontal="center" vertical="center"/>
    </xf>
    <xf fontId="14495" applyFont="true" borderId="8" applyBorder="true" applyNumberFormat="true" numFmtId="2" fillId="22" applyFill="true">
      <alignment horizontal="center" vertical="center"/>
    </xf>
    <xf fontId="14496" applyFont="true" borderId="8" applyBorder="true" applyNumberFormat="true" numFmtId="2" fillId="22" applyFill="true">
      <alignment horizontal="center" vertical="center"/>
    </xf>
    <xf fontId="14497" applyFont="true" borderId="8" applyBorder="true" applyNumberFormat="true" numFmtId="2" fillId="22" applyFill="true">
      <alignment horizontal="center" vertical="center"/>
    </xf>
    <xf fontId="14498" applyFont="true" borderId="8" applyBorder="true" applyNumberFormat="true" numFmtId="2" fillId="22" applyFill="true">
      <alignment horizontal="center" vertical="center"/>
    </xf>
    <xf fontId="14499" applyFont="true" borderId="8" applyBorder="true" applyNumberFormat="true" numFmtId="2" fillId="22" applyFill="true">
      <alignment horizontal="center" vertical="center"/>
    </xf>
    <xf fontId="14500" applyFont="true" borderId="8" applyBorder="true" applyNumberFormat="true" numFmtId="2" fillId="22" applyFill="true">
      <alignment horizontal="center" vertical="center"/>
    </xf>
    <xf fontId="14501" applyFont="true" borderId="8" applyBorder="true" applyNumberFormat="true" numFmtId="2" fillId="22" applyFill="true">
      <alignment horizontal="center" vertical="center"/>
    </xf>
    <xf fontId="14502" applyFont="true" borderId="8" applyBorder="true" applyNumberFormat="true" numFmtId="2" fillId="22" applyFill="true">
      <alignment horizontal="center" vertical="center"/>
    </xf>
    <xf fontId="14503" applyFont="true" borderId="8" applyBorder="true" applyNumberFormat="true" numFmtId="2" fillId="22" applyFill="true">
      <alignment horizontal="center" vertical="center"/>
    </xf>
    <xf fontId="14504" applyFont="true" borderId="8" applyBorder="true" applyNumberFormat="true" numFmtId="2" fillId="22" applyFill="true">
      <alignment horizontal="center" vertical="center"/>
    </xf>
    <xf fontId="14505" applyFont="true" borderId="8" applyBorder="true" applyNumberFormat="true" numFmtId="2" fillId="22" applyFill="true">
      <alignment horizontal="center" vertical="center"/>
    </xf>
    <xf fontId="14506" applyFont="true" borderId="8" applyBorder="true" applyNumberFormat="true" numFmtId="2" fillId="22" applyFill="true">
      <alignment horizontal="center" vertical="center"/>
    </xf>
    <xf fontId="14507" applyFont="true" borderId="8" applyBorder="true" applyNumberFormat="true" numFmtId="2" fillId="22" applyFill="true">
      <alignment horizontal="center" vertical="center"/>
    </xf>
    <xf fontId="14508" applyFont="true" borderId="8" applyBorder="true" applyNumberFormat="true" numFmtId="2" fillId="22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applyNumberFormat="true" numFmtId="165" fillId="19" applyFill="true">
      <alignment horizontal="left" vertical="center"/>
    </xf>
    <xf fontId="14822" applyFont="true" borderId="8" applyBorder="true" applyNumberFormat="true" numFmtId="165" fillId="22" applyFill="true">
      <alignment horizontal="center" vertical="center"/>
    </xf>
    <xf fontId="14823" applyFont="true" borderId="8" applyBorder="true" applyNumberFormat="true" numFmtId="166" fillId="22" applyFill="true">
      <alignment horizontal="center" vertical="center"/>
    </xf>
    <xf fontId="14824" applyFont="true" borderId="8" applyBorder="true" applyNumberFormat="true" numFmtId="1" fillId="22" applyFill="true">
      <alignment horizontal="center" vertical="center"/>
    </xf>
    <xf fontId="14825" applyFont="true" borderId="8" applyBorder="true" applyNumberFormat="true" numFmtId="1" fillId="22" applyFill="true">
      <alignment horizontal="center" vertical="center"/>
    </xf>
    <xf fontId="14826" applyFont="true" borderId="8" applyBorder="true" applyNumberFormat="true" numFmtId="1" fillId="22" applyFill="true">
      <alignment horizontal="center" vertical="center"/>
    </xf>
    <xf fontId="14827" applyFont="true" borderId="8" applyBorder="true" applyNumberFormat="true" numFmtId="1" fillId="22" applyFill="true">
      <alignment horizontal="center" vertical="center"/>
    </xf>
    <xf fontId="14828" applyFont="true" borderId="8" applyBorder="true" applyNumberFormat="true" numFmtId="1" fillId="22" applyFill="true">
      <alignment horizontal="center" vertical="center"/>
    </xf>
    <xf fontId="14829" applyFont="true" borderId="8" applyBorder="true" applyNumberFormat="true" numFmtId="1" fillId="22" applyFill="true">
      <alignment horizontal="center" vertical="center"/>
    </xf>
    <xf fontId="14830" applyFont="true" borderId="8" applyBorder="true" applyNumberFormat="true" numFmtId="1" fillId="22" applyFill="true">
      <alignment horizontal="center" vertical="center"/>
    </xf>
    <xf fontId="14831" applyFont="true" borderId="8" applyBorder="true" applyNumberFormat="true" numFmtId="165" fillId="22" applyFill="true">
      <alignment horizontal="center" vertical="center"/>
    </xf>
    <xf fontId="14832" applyFont="true" borderId="8" applyBorder="true" applyNumberFormat="true" numFmtId="165" fillId="22" applyFill="true">
      <alignment horizontal="center" vertical="center"/>
    </xf>
    <xf fontId="14833" applyFont="true" borderId="8" applyBorder="true" applyNumberFormat="true" numFmtId="1" fillId="22" applyFill="true">
      <alignment horizontal="center" vertical="center"/>
    </xf>
    <xf fontId="14834" applyFont="true" borderId="8" applyBorder="true" applyNumberFormat="true" numFmtId="1" fillId="22" applyFill="true">
      <alignment horizontal="center" vertical="center"/>
    </xf>
    <xf fontId="14835" applyFont="true" borderId="8" applyBorder="true" applyNumberFormat="true" numFmtId="1" fillId="22" applyFill="true">
      <alignment horizontal="center" vertical="center"/>
    </xf>
    <xf fontId="14836" applyFont="true" borderId="8" applyBorder="true" applyNumberFormat="true" numFmtId="167" fillId="22" applyFill="true">
      <alignment horizontal="center" vertical="center"/>
    </xf>
    <xf fontId="14837" applyFont="true" borderId="8" applyBorder="true" applyNumberFormat="true" numFmtId="1" fillId="22" applyFill="true">
      <alignment horizontal="center" vertical="center"/>
    </xf>
    <xf fontId="14838" applyFont="true" borderId="8" applyBorder="true" applyNumberFormat="true" numFmtId="167" fillId="22" applyFill="true">
      <alignment horizontal="center" vertical="center"/>
    </xf>
    <xf fontId="14839" applyFont="true" borderId="8" applyBorder="true" applyNumberFormat="true" numFmtId="1" fillId="22" applyFill="true">
      <alignment horizontal="center" vertical="center"/>
    </xf>
    <xf fontId="14840" applyFont="true" borderId="8" applyBorder="true" applyNumberFormat="true" numFmtId="167" fillId="22" applyFill="true">
      <alignment horizontal="center" vertical="center"/>
    </xf>
    <xf fontId="14841" applyFont="true" borderId="8" applyBorder="true" applyNumberFormat="true" numFmtId="1" fillId="22" applyFill="true">
      <alignment horizontal="center" vertical="center"/>
    </xf>
    <xf fontId="14842" applyFont="true" borderId="8" applyBorder="true" applyNumberFormat="true" numFmtId="167" fillId="22" applyFill="true">
      <alignment horizontal="center" vertical="center"/>
    </xf>
    <xf fontId="14843" applyFont="true" borderId="8" applyBorder="true" applyNumberFormat="true" numFmtId="167" fillId="22" applyFill="true">
      <alignment horizontal="center" vertical="center"/>
    </xf>
    <xf fontId="14844" applyFont="true" borderId="8" applyBorder="true" applyNumberFormat="true" numFmtId="1" fillId="22" applyFill="true">
      <alignment horizontal="center" vertical="center"/>
    </xf>
    <xf fontId="14845" applyFont="true" borderId="8" applyBorder="true" applyNumberFormat="true" numFmtId="1" fillId="22" applyFill="true">
      <alignment horizontal="center" vertical="center"/>
    </xf>
    <xf fontId="14846" applyFont="true" borderId="8" applyBorder="true" applyNumberFormat="true" numFmtId="1" fillId="22" applyFill="true">
      <alignment horizontal="center" vertical="center"/>
    </xf>
    <xf fontId="14847" applyFont="true" borderId="8" applyBorder="true" applyNumberFormat="true" numFmtId="167" fillId="22" applyFill="true">
      <alignment horizontal="center" vertical="center"/>
    </xf>
    <xf fontId="14848" applyFont="true" borderId="8" applyBorder="true" applyNumberFormat="true" numFmtId="166" fillId="22" applyFill="true">
      <alignment horizontal="center" vertical="center"/>
    </xf>
    <xf fontId="14849" applyFont="true" borderId="8" applyBorder="true" applyNumberFormat="true" numFmtId="166" fillId="22" applyFill="true">
      <alignment horizontal="center" vertical="center"/>
    </xf>
    <xf fontId="14850" applyFont="true" borderId="8" applyBorder="true" applyNumberFormat="true" numFmtId="1" fillId="22" applyFill="true">
      <alignment horizontal="center" vertical="center"/>
    </xf>
    <xf fontId="14851" applyFont="true" borderId="8" applyBorder="true" applyNumberFormat="true" numFmtId="1" fillId="22" applyFill="true">
      <alignment horizontal="center" vertical="center"/>
    </xf>
    <xf fontId="14852" applyFont="true" borderId="8" applyBorder="true" applyNumberFormat="true" numFmtId="1" fillId="22" applyFill="true">
      <alignment horizontal="center" vertical="center"/>
    </xf>
    <xf fontId="14853" applyFont="true" borderId="8" applyBorder="true" applyNumberFormat="true" numFmtId="167" fillId="22" applyFill="true">
      <alignment horizontal="center" vertical="center"/>
    </xf>
    <xf fontId="14854" applyFont="true" borderId="8" applyBorder="true" applyNumberFormat="true" numFmtId="1" fillId="22" applyFill="true">
      <alignment horizontal="center" vertical="center"/>
    </xf>
    <xf fontId="14855" applyFont="true" borderId="8" applyBorder="true" applyNumberFormat="true" numFmtId="167" fillId="22" applyFill="true">
      <alignment horizontal="center" vertical="center"/>
    </xf>
    <xf fontId="14856" applyFont="true" borderId="8" applyBorder="true" applyNumberFormat="true" numFmtId="1" fillId="22" applyFill="true">
      <alignment horizontal="center" vertical="center"/>
    </xf>
    <xf fontId="14857" applyFont="true" borderId="8" applyBorder="true" applyNumberFormat="true" numFmtId="1" fillId="22" applyFill="true">
      <alignment horizontal="center" vertical="center"/>
    </xf>
    <xf fontId="14858" applyFont="true" borderId="8" applyBorder="true" applyNumberFormat="true" numFmtId="1" fillId="22" applyFill="true">
      <alignment horizontal="center" vertical="center"/>
    </xf>
    <xf fontId="14859" applyFont="true" borderId="8" applyBorder="true" applyNumberFormat="true" numFmtId="1" fillId="22" applyFill="true">
      <alignment horizontal="center" vertical="center"/>
    </xf>
    <xf fontId="14860" applyFont="true" borderId="8" applyBorder="true" applyNumberFormat="true" numFmtId="167" fillId="22" applyFill="true">
      <alignment horizontal="center" vertical="center"/>
    </xf>
    <xf fontId="14861" applyFont="true" borderId="8" applyBorder="true" applyNumberFormat="true" numFmtId="1" fillId="22" applyFill="true">
      <alignment horizontal="center" vertical="center"/>
    </xf>
    <xf fontId="14862" applyFont="true" borderId="8" applyBorder="true" applyNumberFormat="true" numFmtId="167" fillId="22" applyFill="true">
      <alignment horizontal="center" vertical="center"/>
    </xf>
    <xf fontId="14863" applyFont="true" borderId="8" applyBorder="true" applyNumberFormat="true" numFmtId="1" fillId="22" applyFill="true">
      <alignment horizontal="center" vertical="center"/>
    </xf>
    <xf fontId="14864" applyFont="true" borderId="8" applyBorder="true" applyNumberFormat="true" numFmtId="167" fillId="22" applyFill="true">
      <alignment horizontal="center" vertical="center"/>
    </xf>
    <xf fontId="14865" applyFont="true" borderId="8" applyBorder="true" applyNumberFormat="true" numFmtId="2" fillId="22" applyFill="true">
      <alignment horizontal="center" vertical="center"/>
    </xf>
    <xf fontId="14866" applyFont="true" borderId="8" applyBorder="true" applyNumberFormat="true" numFmtId="2" fillId="22" applyFill="true">
      <alignment horizontal="center" vertical="center"/>
    </xf>
    <xf fontId="14867" applyFont="true" borderId="8" applyBorder="true" applyNumberFormat="true" numFmtId="2" fillId="22" applyFill="true">
      <alignment horizontal="center" vertical="center"/>
    </xf>
    <xf fontId="14868" applyFont="true" borderId="8" applyBorder="true" applyNumberFormat="true" numFmtId="2" fillId="22" applyFill="true">
      <alignment horizontal="center" vertical="center"/>
    </xf>
    <xf fontId="14869" applyFont="true" borderId="8" applyBorder="true" applyNumberFormat="true" numFmtId="2" fillId="22" applyFill="true">
      <alignment horizontal="center" vertical="center"/>
    </xf>
    <xf fontId="14870" applyFont="true" borderId="8" applyBorder="true" applyNumberFormat="true" numFmtId="2" fillId="22" applyFill="true">
      <alignment horizontal="center" vertical="center"/>
    </xf>
    <xf fontId="14871" applyFont="true" borderId="8" applyBorder="true" applyNumberFormat="true" numFmtId="2" fillId="22" applyFill="true">
      <alignment horizontal="center" vertical="center"/>
    </xf>
    <xf fontId="14872" applyFont="true" borderId="8" applyBorder="true" applyNumberFormat="true" numFmtId="2" fillId="22" applyFill="true">
      <alignment horizontal="center" vertical="center"/>
    </xf>
    <xf fontId="14873" applyFont="true" borderId="8" applyBorder="true" applyNumberFormat="true" numFmtId="2" fillId="22" applyFill="true">
      <alignment horizontal="center" vertical="center"/>
    </xf>
    <xf fontId="14874" applyFont="true" borderId="8" applyBorder="true" applyNumberFormat="true" numFmtId="2" fillId="22" applyFill="true">
      <alignment horizontal="center" vertical="center"/>
    </xf>
    <xf fontId="14875" applyFont="true" borderId="8" applyBorder="true" applyNumberFormat="true" numFmtId="2" fillId="22" applyFill="true">
      <alignment horizontal="center" vertical="center"/>
    </xf>
    <xf fontId="14876" applyFont="true" borderId="8" applyBorder="true" applyNumberFormat="true" numFmtId="2" fillId="22" applyFill="true">
      <alignment horizontal="center" vertical="center"/>
    </xf>
    <xf fontId="14877" applyFont="true" borderId="8" applyBorder="true" applyNumberFormat="true" numFmtId="2" fillId="22" applyFill="true">
      <alignment horizontal="center" vertical="center"/>
    </xf>
    <xf fontId="14878" applyFont="true" borderId="8" applyBorder="true" applyNumberFormat="true" numFmtId="2" fillId="22" applyFill="true">
      <alignment horizontal="center" vertical="center"/>
    </xf>
    <xf fontId="14879" applyFont="true" borderId="8" applyBorder="true" applyNumberFormat="true" numFmtId="2" fillId="22" applyFill="true">
      <alignment horizontal="center" vertical="center"/>
    </xf>
    <xf fontId="14880" applyFont="true" borderId="8" applyBorder="true" applyNumberFormat="true" numFmtId="2" fillId="22" applyFill="true">
      <alignment horizontal="center" vertical="center"/>
    </xf>
    <xf fontId="14881" applyFont="true" borderId="8" applyBorder="true" applyNumberFormat="true" numFmtId="2" fillId="22" applyFill="true">
      <alignment horizontal="center" vertical="center"/>
    </xf>
    <xf fontId="14882" applyFont="true" borderId="8" applyBorder="true" applyNumberFormat="true" numFmtId="2" fillId="22" applyFill="true">
      <alignment horizontal="center" vertical="center"/>
    </xf>
    <xf fontId="14883" applyFont="true" borderId="8" applyBorder="true" applyNumberFormat="true" numFmtId="2" fillId="22" applyFill="true">
      <alignment horizontal="center" vertical="center"/>
    </xf>
    <xf fontId="14884" applyFont="true" borderId="8" applyBorder="true" applyNumberFormat="true" numFmtId="2" fillId="22" applyFill="true">
      <alignment horizontal="center" vertical="center"/>
    </xf>
    <xf fontId="14885" applyFont="true" borderId="8" applyBorder="true" applyNumberFormat="true" numFmtId="2" fillId="22" applyFill="true">
      <alignment horizontal="center" vertical="center"/>
    </xf>
    <xf fontId="14886" applyFont="true" borderId="8" applyBorder="true" applyNumberFormat="true" numFmtId="2" fillId="22" applyFill="true">
      <alignment horizontal="center" vertical="center"/>
    </xf>
    <xf fontId="14887" applyFont="true" borderId="8" applyBorder="true" applyNumberFormat="true" numFmtId="2" fillId="22" applyFill="true">
      <alignment horizontal="center" vertical="center"/>
    </xf>
    <xf fontId="14888" applyFont="true" borderId="8" applyBorder="true" applyNumberFormat="true" numFmtId="2" fillId="22" applyFill="true">
      <alignment horizontal="center" vertical="center"/>
    </xf>
    <xf fontId="14889" applyFont="true" borderId="8" applyBorder="true" applyNumberFormat="true" numFmtId="2" fillId="22" applyFill="true">
      <alignment horizontal="center" vertical="center"/>
    </xf>
    <xf fontId="14890" applyFont="true" borderId="8" applyBorder="true" applyNumberFormat="true" numFmtId="2" fillId="22" applyFill="true">
      <alignment horizontal="center" vertical="center"/>
    </xf>
    <xf fontId="14891" applyFont="true" borderId="8" applyBorder="true" applyNumberFormat="true" numFmtId="2" fillId="22" applyFill="true">
      <alignment horizontal="center" vertical="center"/>
    </xf>
    <xf fontId="14892" applyFont="true" borderId="8" applyBorder="true" applyNumberFormat="true" numFmtId="2" fillId="22" applyFill="true">
      <alignment horizontal="center" vertical="center"/>
    </xf>
    <xf fontId="14893" applyFont="true" borderId="8" applyBorder="true" applyNumberFormat="true" numFmtId="2" fillId="22" applyFill="true">
      <alignment horizontal="center" vertical="center"/>
    </xf>
    <xf fontId="14894" applyFont="true" borderId="8" applyBorder="true" applyNumberFormat="true" numFmtId="2" fillId="22" applyFill="true">
      <alignment horizontal="center" vertical="center"/>
    </xf>
    <xf fontId="14895" applyFont="true" borderId="8" applyBorder="true" applyNumberFormat="true" numFmtId="2" fillId="22" applyFill="true">
      <alignment horizontal="center" vertical="center"/>
    </xf>
    <xf fontId="14896" applyFont="true" borderId="8" applyBorder="true" applyNumberFormat="true" numFmtId="2" fillId="22" applyFill="true">
      <alignment horizontal="center" vertical="center"/>
    </xf>
    <xf fontId="14897" applyFont="true" borderId="8" applyBorder="true" applyNumberFormat="true" numFmtId="2" fillId="22" applyFill="true">
      <alignment horizontal="center" vertical="center"/>
    </xf>
    <xf fontId="14898" applyFont="true" borderId="8" applyBorder="true" applyNumberFormat="true" numFmtId="2" fillId="22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fillId="4" applyFill="true">
      <alignment horizontal="center" vertical="center"/>
    </xf>
    <xf fontId="15290" applyFont="true" borderId="8" applyBorder="true" fillId="4" applyFill="true">
      <alignment horizontal="center" vertical="center"/>
    </xf>
    <xf fontId="15291" applyFont="true" borderId="8" applyBorder="true" fillId="4" applyFill="true">
      <alignment horizontal="center" vertical="center"/>
    </xf>
    <xf fontId="15292" applyFont="true" borderId="8" applyBorder="true" fillId="4" applyFill="true">
      <alignment horizontal="center" vertical="center"/>
    </xf>
    <xf fontId="15293" applyFont="true" borderId="8" applyBorder="true" fillId="4" applyFill="true">
      <alignment horizontal="center" vertical="center"/>
    </xf>
    <xf fontId="15294" applyFont="true" borderId="8" applyBorder="true" fillId="4" applyFill="true">
      <alignment horizontal="center" vertical="center"/>
    </xf>
    <xf fontId="15295" applyFont="true" borderId="8" applyBorder="true" fillId="4" applyFill="true">
      <alignment horizontal="center" vertical="center"/>
    </xf>
    <xf fontId="15296" applyFont="true" borderId="8" applyBorder="true" fillId="4" applyFill="true">
      <alignment horizontal="center" vertical="center"/>
    </xf>
    <xf fontId="15297" applyFont="true" borderId="8" applyBorder="true" fillId="4" applyFill="true">
      <alignment horizontal="center" vertical="center"/>
    </xf>
    <xf fontId="15298" applyFont="true" borderId="8" applyBorder="true" fillId="4" applyFill="true">
      <alignment horizontal="center" vertical="center"/>
    </xf>
    <xf fontId="15299" applyFont="true" borderId="8" applyBorder="true" fillId="4" applyFill="true">
      <alignment horizontal="center" vertical="center"/>
    </xf>
    <xf fontId="15300" applyFont="true" borderId="8" applyBorder="true" fillId="4" applyFill="true">
      <alignment horizontal="center" vertical="center"/>
    </xf>
    <xf fontId="15301" applyFont="true" borderId="8" applyBorder="true" fillId="4" applyFill="true">
      <alignment horizontal="center" vertical="center"/>
    </xf>
    <xf fontId="15302" applyFont="true" borderId="8" applyBorder="true" fillId="4" applyFill="true">
      <alignment horizontal="center" vertical="center"/>
    </xf>
    <xf fontId="15303" applyFont="true" borderId="8" applyBorder="true" fillId="4" applyFill="true">
      <alignment horizontal="center" vertical="center"/>
    </xf>
    <xf fontId="15304" applyFont="true" borderId="8" applyBorder="true" fillId="4" applyFill="true">
      <alignment horizontal="center" vertical="center"/>
    </xf>
    <xf fontId="15305" applyFont="true" borderId="8" applyBorder="true" fillId="4" applyFill="true">
      <alignment horizontal="center" vertical="center"/>
    </xf>
    <xf fontId="15306" applyFont="true" borderId="8" applyBorder="true" fillId="4" applyFill="true">
      <alignment horizontal="center" vertical="center"/>
    </xf>
    <xf fontId="15307" applyFont="true" borderId="8" applyBorder="true" fillId="4" applyFill="true">
      <alignment horizontal="center" vertical="center"/>
    </xf>
    <xf fontId="15308" applyFont="true" borderId="8" applyBorder="true" fillId="4" applyFill="true">
      <alignment horizontal="center" vertical="center"/>
    </xf>
    <xf fontId="15309" applyFont="true" borderId="8" applyBorder="true" fillId="4" applyFill="true">
      <alignment horizontal="center" vertical="center"/>
    </xf>
    <xf fontId="15310" applyFont="true" borderId="8" applyBorder="true" fillId="4" applyFill="true">
      <alignment horizontal="center" vertical="center"/>
    </xf>
    <xf fontId="15311" applyFont="true" borderId="8" applyBorder="true" fillId="4" applyFill="true">
      <alignment horizontal="center" vertical="center"/>
    </xf>
    <xf fontId="15312" applyFont="true" borderId="8" applyBorder="true" fillId="4" applyFill="true">
      <alignment horizontal="center" vertical="center"/>
    </xf>
    <xf fontId="15313" applyFont="true" borderId="8" applyBorder="true" fillId="4" applyFill="true">
      <alignment horizontal="center" vertical="center"/>
    </xf>
    <xf fontId="15314" applyFont="true" borderId="8" applyBorder="true" fillId="4" applyFill="true">
      <alignment horizontal="center" vertical="center"/>
    </xf>
    <xf fontId="15315" applyFont="true" borderId="8" applyBorder="true" fillId="4" applyFill="true">
      <alignment horizontal="center" vertical="center"/>
    </xf>
    <xf fontId="15316" applyFont="true" borderId="8" applyBorder="true" fillId="4" applyFill="true">
      <alignment horizontal="center" vertical="center"/>
    </xf>
    <xf fontId="15317" applyFont="true" borderId="8" applyBorder="true" fillId="4" applyFill="true">
      <alignment horizontal="center" vertical="center"/>
    </xf>
    <xf fontId="15318" applyFont="true" borderId="8" applyBorder="true" fillId="4" applyFill="true">
      <alignment horizontal="center" vertical="center"/>
    </xf>
    <xf fontId="15319" applyFont="true" borderId="8" applyBorder="true" fillId="4" applyFill="true">
      <alignment horizontal="center" vertical="center"/>
    </xf>
    <xf fontId="15320" applyFont="true" borderId="8" applyBorder="true" fillId="4" applyFill="true">
      <alignment horizontal="center" vertical="center"/>
    </xf>
    <xf fontId="15321" applyFont="true" borderId="8" applyBorder="true" fillId="4" applyFill="true">
      <alignment horizontal="center" vertical="center"/>
    </xf>
    <xf fontId="15322" applyFont="true" borderId="8" applyBorder="true" fillId="4" applyFill="true">
      <alignment horizontal="center" vertical="center"/>
    </xf>
    <xf fontId="15323" applyFont="true" borderId="8" applyBorder="true" fillId="4" applyFill="true">
      <alignment horizontal="center" vertical="center"/>
    </xf>
    <xf fontId="15324" applyFont="true" borderId="8" applyBorder="true" fillId="4" applyFill="true">
      <alignment horizontal="center" vertical="center"/>
    </xf>
    <xf fontId="15325" applyFont="true" borderId="8" applyBorder="true" fillId="4" applyFill="true">
      <alignment horizontal="center" vertical="center"/>
    </xf>
    <xf fontId="15326" applyFont="true" borderId="8" applyBorder="true" fillId="4" applyFill="true">
      <alignment horizontal="center" vertical="center"/>
    </xf>
    <xf fontId="15327" applyFont="true" borderId="8" applyBorder="true" fillId="4" applyFill="true">
      <alignment horizontal="center" vertical="center"/>
    </xf>
    <xf fontId="15328" applyFont="true" borderId="8" applyBorder="true" fillId="4" applyFill="true">
      <alignment horizontal="center" vertical="center"/>
    </xf>
    <xf fontId="15329" applyFont="true" borderId="8" applyBorder="true" fillId="4" applyFill="true">
      <alignment horizontal="center" vertical="center"/>
    </xf>
    <xf fontId="15330" applyFont="true" borderId="8" applyBorder="true" fillId="4" applyFill="true">
      <alignment horizontal="center" vertical="center"/>
    </xf>
    <xf fontId="15331" applyFont="true" borderId="8" applyBorder="true" fillId="4" applyFill="true">
      <alignment horizontal="center" vertical="center"/>
    </xf>
    <xf fontId="15332" applyFont="true" borderId="8" applyBorder="true" fillId="4" applyFill="true">
      <alignment horizontal="center" vertical="center"/>
    </xf>
    <xf fontId="15333" applyFont="true" borderId="8" applyBorder="true" fillId="4" applyFill="true">
      <alignment horizontal="center" vertical="center"/>
    </xf>
    <xf fontId="15334" applyFont="true" borderId="8" applyBorder="true" fillId="4" applyFill="true">
      <alignment horizontal="center" vertical="center"/>
    </xf>
    <xf fontId="15335" applyFont="true" borderId="8" applyBorder="true" fillId="7" applyFill="true">
      <alignment horizontal="center" vertical="center"/>
    </xf>
    <xf fontId="15336" applyFont="true" borderId="8" applyBorder="true" fillId="7" applyFill="true">
      <alignment horizontal="center" vertical="center"/>
    </xf>
    <xf fontId="15337" applyFont="true" borderId="8" applyBorder="true" fillId="7" applyFill="true">
      <alignment horizontal="center" vertical="center"/>
    </xf>
    <xf fontId="15338" applyFont="true" borderId="8" applyBorder="true" fillId="7" applyFill="true">
      <alignment horizontal="center" vertical="center"/>
    </xf>
    <xf fontId="15339" applyFont="true" borderId="8" applyBorder="true" fillId="7" applyFill="true">
      <alignment horizontal="center" vertical="center"/>
    </xf>
    <xf fontId="15340" applyFont="true" borderId="8" applyBorder="true" fillId="7" applyFill="true">
      <alignment horizontal="center" vertical="center"/>
    </xf>
    <xf fontId="15341" applyFont="true" borderId="8" applyBorder="true" fillId="7" applyFill="true">
      <alignment horizontal="center" vertical="center"/>
    </xf>
    <xf fontId="15342" applyFont="true" borderId="8" applyBorder="true" fillId="7" applyFill="true">
      <alignment horizontal="center" vertical="center"/>
    </xf>
    <xf fontId="15343" applyFont="true" borderId="8" applyBorder="true" fillId="7" applyFill="true">
      <alignment horizontal="center" vertical="center"/>
    </xf>
    <xf fontId="15344" applyFont="true" borderId="8" applyBorder="true" fillId="7" applyFill="true">
      <alignment horizontal="center" vertical="center"/>
    </xf>
    <xf fontId="15345" applyFont="true" borderId="8" applyBorder="true" fillId="7" applyFill="true">
      <alignment horizontal="center" vertical="center"/>
    </xf>
    <xf fontId="15346" applyFont="true" borderId="8" applyBorder="true" fillId="7" applyFill="true">
      <alignment horizontal="center" vertical="center"/>
    </xf>
    <xf fontId="15347" applyFont="true" borderId="8" applyBorder="true" fillId="7" applyFill="true">
      <alignment horizontal="center" vertical="center"/>
    </xf>
    <xf fontId="15348" applyFont="true" borderId="8" applyBorder="true" fillId="7" applyFill="true">
      <alignment horizontal="center" vertical="center"/>
    </xf>
    <xf fontId="15349" applyFont="true" borderId="8" applyBorder="true" fillId="7" applyFill="true">
      <alignment horizontal="center" vertical="center"/>
    </xf>
    <xf fontId="15350" applyFont="true" borderId="8" applyBorder="true" fillId="7" applyFill="true">
      <alignment horizontal="center" vertical="center"/>
    </xf>
    <xf fontId="15351" applyFont="true" borderId="8" applyBorder="true" fillId="7" applyFill="true">
      <alignment horizontal="center" vertical="center"/>
    </xf>
    <xf fontId="15352" applyFont="true" borderId="8" applyBorder="true" fillId="7" applyFill="true">
      <alignment horizontal="center" vertical="center"/>
    </xf>
    <xf fontId="15353" applyFont="true" borderId="8" applyBorder="true" fillId="7" applyFill="true">
      <alignment horizontal="center" vertical="center"/>
    </xf>
    <xf fontId="15354" applyFont="true" borderId="8" applyBorder="true" fillId="7" applyFill="true">
      <alignment horizontal="center" vertical="center"/>
    </xf>
    <xf fontId="15355" applyFont="true" borderId="8" applyBorder="true" fillId="7" applyFill="true">
      <alignment horizontal="center" vertical="center"/>
    </xf>
    <xf fontId="15356" applyFont="true" borderId="8" applyBorder="true" fillId="7" applyFill="true">
      <alignment horizontal="center" vertical="center"/>
    </xf>
    <xf fontId="15357" applyFont="true" borderId="8" applyBorder="true" fillId="10" applyFill="true">
      <alignment horizontal="center" vertical="center"/>
    </xf>
    <xf fontId="15358" applyFont="true" borderId="8" applyBorder="true" fillId="10" applyFill="true">
      <alignment horizontal="center" vertical="center"/>
    </xf>
    <xf fontId="15359" applyFont="true" borderId="8" applyBorder="true" fillId="10" applyFill="true">
      <alignment horizontal="center" vertical="center"/>
    </xf>
    <xf fontId="15360" applyFont="true" borderId="8" applyBorder="true" fillId="10" applyFill="true">
      <alignment horizontal="center" vertical="center"/>
    </xf>
    <xf fontId="15361" applyFont="true" borderId="8" applyBorder="true" fillId="13" applyFill="true">
      <alignment horizontal="center" vertical="center"/>
    </xf>
    <xf fontId="15362" applyFont="true" borderId="8" applyBorder="true" fillId="13" applyFill="true">
      <alignment horizontal="center" vertical="center"/>
    </xf>
    <xf fontId="15363" applyFont="true" borderId="8" applyBorder="true" fillId="13" applyFill="true">
      <alignment horizontal="center" vertical="center"/>
    </xf>
    <xf fontId="15364" applyFont="true" borderId="8" applyBorder="true" fillId="16" applyFill="true">
      <alignment horizontal="center" vertical="center"/>
    </xf>
    <xf fontId="15365" applyFont="true" borderId="8" applyBorder="true" fillId="16" applyFill="true">
      <alignment horizontal="center" vertical="center"/>
    </xf>
    <xf fontId="15366" applyFont="true" borderId="8" applyBorder="true" fillId="16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applyNumberFormat="true" numFmtId="165" fillId="19" applyFill="true">
      <alignment horizontal="left" vertical="center"/>
    </xf>
    <xf fontId="15758" applyFont="true" borderId="8" applyBorder="true" applyNumberFormat="true" numFmtId="165" fillId="22" applyFill="true">
      <alignment horizontal="center" vertical="center"/>
    </xf>
    <xf fontId="15759" applyFont="true" borderId="8" applyBorder="true" applyNumberFormat="true" numFmtId="166" fillId="22" applyFill="true">
      <alignment horizontal="center" vertical="center"/>
    </xf>
    <xf fontId="15760" applyFont="true" borderId="8" applyBorder="true" applyNumberFormat="true" numFmtId="1" fillId="22" applyFill="true">
      <alignment horizontal="center" vertical="center"/>
    </xf>
    <xf fontId="15761" applyFont="true" borderId="8" applyBorder="true" applyNumberFormat="true" numFmtId="1" fillId="22" applyFill="true">
      <alignment horizontal="center" vertical="center"/>
    </xf>
    <xf fontId="15762" applyFont="true" borderId="8" applyBorder="true" applyNumberFormat="true" numFmtId="1" fillId="22" applyFill="true">
      <alignment horizontal="center" vertical="center"/>
    </xf>
    <xf fontId="15763" applyFont="true" borderId="8" applyBorder="true" applyNumberFormat="true" numFmtId="1" fillId="22" applyFill="true">
      <alignment horizontal="center" vertical="center"/>
    </xf>
    <xf fontId="15764" applyFont="true" borderId="8" applyBorder="true" applyNumberFormat="true" numFmtId="1" fillId="22" applyFill="true">
      <alignment horizontal="center" vertical="center"/>
    </xf>
    <xf fontId="15765" applyFont="true" borderId="8" applyBorder="true" applyNumberFormat="true" numFmtId="1" fillId="22" applyFill="true">
      <alignment horizontal="center" vertical="center"/>
    </xf>
    <xf fontId="15766" applyFont="true" borderId="8" applyBorder="true" applyNumberFormat="true" numFmtId="1" fillId="22" applyFill="true">
      <alignment horizontal="center" vertical="center"/>
    </xf>
    <xf fontId="15767" applyFont="true" borderId="8" applyBorder="true" applyNumberFormat="true" numFmtId="165" fillId="22" applyFill="true">
      <alignment horizontal="center" vertical="center"/>
    </xf>
    <xf fontId="15768" applyFont="true" borderId="8" applyBorder="true" applyNumberFormat="true" numFmtId="165" fillId="22" applyFill="true">
      <alignment horizontal="center" vertical="center"/>
    </xf>
    <xf fontId="15769" applyFont="true" borderId="8" applyBorder="true" applyNumberFormat="true" numFmtId="1" fillId="22" applyFill="true">
      <alignment horizontal="center" vertical="center"/>
    </xf>
    <xf fontId="15770" applyFont="true" borderId="8" applyBorder="true" applyNumberFormat="true" numFmtId="1" fillId="22" applyFill="true">
      <alignment horizontal="center" vertical="center"/>
    </xf>
    <xf fontId="15771" applyFont="true" borderId="8" applyBorder="true" applyNumberFormat="true" numFmtId="1" fillId="22" applyFill="true">
      <alignment horizontal="center" vertical="center"/>
    </xf>
    <xf fontId="15772" applyFont="true" borderId="8" applyBorder="true" applyNumberFormat="true" numFmtId="167" fillId="22" applyFill="true">
      <alignment horizontal="center" vertical="center"/>
    </xf>
    <xf fontId="15773" applyFont="true" borderId="8" applyBorder="true" applyNumberFormat="true" numFmtId="1" fillId="22" applyFill="true">
      <alignment horizontal="center" vertical="center"/>
    </xf>
    <xf fontId="15774" applyFont="true" borderId="8" applyBorder="true" applyNumberFormat="true" numFmtId="167" fillId="22" applyFill="true">
      <alignment horizontal="center" vertical="center"/>
    </xf>
    <xf fontId="15775" applyFont="true" borderId="8" applyBorder="true" applyNumberFormat="true" numFmtId="1" fillId="22" applyFill="true">
      <alignment horizontal="center" vertical="center"/>
    </xf>
    <xf fontId="15776" applyFont="true" borderId="8" applyBorder="true" applyNumberFormat="true" numFmtId="167" fillId="22" applyFill="true">
      <alignment horizontal="center" vertical="center"/>
    </xf>
    <xf fontId="15777" applyFont="true" borderId="8" applyBorder="true" applyNumberFormat="true" numFmtId="1" fillId="22" applyFill="true">
      <alignment horizontal="center" vertical="center"/>
    </xf>
    <xf fontId="15778" applyFont="true" borderId="8" applyBorder="true" applyNumberFormat="true" numFmtId="167" fillId="22" applyFill="true">
      <alignment horizontal="center" vertical="center"/>
    </xf>
    <xf fontId="15779" applyFont="true" borderId="8" applyBorder="true" applyNumberFormat="true" numFmtId="167" fillId="22" applyFill="true">
      <alignment horizontal="center" vertical="center"/>
    </xf>
    <xf fontId="15780" applyFont="true" borderId="8" applyBorder="true" applyNumberFormat="true" numFmtId="1" fillId="22" applyFill="true">
      <alignment horizontal="center" vertical="center"/>
    </xf>
    <xf fontId="15781" applyFont="true" borderId="8" applyBorder="true" applyNumberFormat="true" numFmtId="1" fillId="22" applyFill="true">
      <alignment horizontal="center" vertical="center"/>
    </xf>
    <xf fontId="15782" applyFont="true" borderId="8" applyBorder="true" applyNumberFormat="true" numFmtId="1" fillId="22" applyFill="true">
      <alignment horizontal="center" vertical="center"/>
    </xf>
    <xf fontId="15783" applyFont="true" borderId="8" applyBorder="true" applyNumberFormat="true" numFmtId="167" fillId="22" applyFill="true">
      <alignment horizontal="center" vertical="center"/>
    </xf>
    <xf fontId="15784" applyFont="true" borderId="8" applyBorder="true" applyNumberFormat="true" numFmtId="166" fillId="22" applyFill="true">
      <alignment horizontal="center" vertical="center"/>
    </xf>
    <xf fontId="15785" applyFont="true" borderId="8" applyBorder="true" applyNumberFormat="true" numFmtId="166" fillId="22" applyFill="true">
      <alignment horizontal="center" vertical="center"/>
    </xf>
    <xf fontId="15786" applyFont="true" borderId="8" applyBorder="true" applyNumberFormat="true" numFmtId="1" fillId="22" applyFill="true">
      <alignment horizontal="center" vertical="center"/>
    </xf>
    <xf fontId="15787" applyFont="true" borderId="8" applyBorder="true" applyNumberFormat="true" numFmtId="1" fillId="22" applyFill="true">
      <alignment horizontal="center" vertical="center"/>
    </xf>
    <xf fontId="15788" applyFont="true" borderId="8" applyBorder="true" applyNumberFormat="true" numFmtId="1" fillId="22" applyFill="true">
      <alignment horizontal="center" vertical="center"/>
    </xf>
    <xf fontId="15789" applyFont="true" borderId="8" applyBorder="true" applyNumberFormat="true" numFmtId="167" fillId="22" applyFill="true">
      <alignment horizontal="center" vertical="center"/>
    </xf>
    <xf fontId="15790" applyFont="true" borderId="8" applyBorder="true" applyNumberFormat="true" numFmtId="1" fillId="22" applyFill="true">
      <alignment horizontal="center" vertical="center"/>
    </xf>
    <xf fontId="15791" applyFont="true" borderId="8" applyBorder="true" applyNumberFormat="true" numFmtId="167" fillId="22" applyFill="true">
      <alignment horizontal="center" vertical="center"/>
    </xf>
    <xf fontId="15792" applyFont="true" borderId="8" applyBorder="true" applyNumberFormat="true" numFmtId="1" fillId="22" applyFill="true">
      <alignment horizontal="center" vertical="center"/>
    </xf>
    <xf fontId="15793" applyFont="true" borderId="8" applyBorder="true" applyNumberFormat="true" numFmtId="1" fillId="22" applyFill="true">
      <alignment horizontal="center" vertical="center"/>
    </xf>
    <xf fontId="15794" applyFont="true" borderId="8" applyBorder="true" applyNumberFormat="true" numFmtId="1" fillId="22" applyFill="true">
      <alignment horizontal="center" vertical="center"/>
    </xf>
    <xf fontId="15795" applyFont="true" borderId="8" applyBorder="true" applyNumberFormat="true" numFmtId="1" fillId="22" applyFill="true">
      <alignment horizontal="center" vertical="center"/>
    </xf>
    <xf fontId="15796" applyFont="true" borderId="8" applyBorder="true" applyNumberFormat="true" numFmtId="167" fillId="22" applyFill="true">
      <alignment horizontal="center" vertical="center"/>
    </xf>
    <xf fontId="15797" applyFont="true" borderId="8" applyBorder="true" applyNumberFormat="true" numFmtId="1" fillId="22" applyFill="true">
      <alignment horizontal="center" vertical="center"/>
    </xf>
    <xf fontId="15798" applyFont="true" borderId="8" applyBorder="true" applyNumberFormat="true" numFmtId="167" fillId="22" applyFill="true">
      <alignment horizontal="center" vertical="center"/>
    </xf>
    <xf fontId="15799" applyFont="true" borderId="8" applyBorder="true" applyNumberFormat="true" numFmtId="1" fillId="22" applyFill="true">
      <alignment horizontal="center" vertical="center"/>
    </xf>
    <xf fontId="15800" applyFont="true" borderId="8" applyBorder="true" applyNumberFormat="true" numFmtId="167" fillId="22" applyFill="true">
      <alignment horizontal="center" vertical="center"/>
    </xf>
    <xf fontId="15801" applyFont="true" borderId="8" applyBorder="true" applyNumberFormat="true" numFmtId="2" fillId="22" applyFill="true">
      <alignment horizontal="center" vertical="center"/>
    </xf>
    <xf fontId="15802" applyFont="true" borderId="8" applyBorder="true" applyNumberFormat="true" numFmtId="2" fillId="22" applyFill="true">
      <alignment horizontal="center" vertical="center"/>
    </xf>
    <xf fontId="15803" applyFont="true" borderId="8" applyBorder="true" applyNumberFormat="true" numFmtId="2" fillId="22" applyFill="true">
      <alignment horizontal="center" vertical="center"/>
    </xf>
    <xf fontId="15804" applyFont="true" borderId="8" applyBorder="true" applyNumberFormat="true" numFmtId="2" fillId="22" applyFill="true">
      <alignment horizontal="center" vertical="center"/>
    </xf>
    <xf fontId="15805" applyFont="true" borderId="8" applyBorder="true" applyNumberFormat="true" numFmtId="2" fillId="22" applyFill="true">
      <alignment horizontal="center" vertical="center"/>
    </xf>
    <xf fontId="15806" applyFont="true" borderId="8" applyBorder="true" applyNumberFormat="true" numFmtId="2" fillId="22" applyFill="true">
      <alignment horizontal="center" vertical="center"/>
    </xf>
    <xf fontId="15807" applyFont="true" borderId="8" applyBorder="true" applyNumberFormat="true" numFmtId="2" fillId="22" applyFill="true">
      <alignment horizontal="center" vertical="center"/>
    </xf>
    <xf fontId="15808" applyFont="true" borderId="8" applyBorder="true" applyNumberFormat="true" numFmtId="2" fillId="22" applyFill="true">
      <alignment horizontal="center" vertical="center"/>
    </xf>
    <xf fontId="15809" applyFont="true" borderId="8" applyBorder="true" applyNumberFormat="true" numFmtId="2" fillId="22" applyFill="true">
      <alignment horizontal="center" vertical="center"/>
    </xf>
    <xf fontId="15810" applyFont="true" borderId="8" applyBorder="true" applyNumberFormat="true" numFmtId="2" fillId="22" applyFill="true">
      <alignment horizontal="center" vertical="center"/>
    </xf>
    <xf fontId="15811" applyFont="true" borderId="8" applyBorder="true" applyNumberFormat="true" numFmtId="2" fillId="22" applyFill="true">
      <alignment horizontal="center" vertical="center"/>
    </xf>
    <xf fontId="15812" applyFont="true" borderId="8" applyBorder="true" applyNumberFormat="true" numFmtId="2" fillId="22" applyFill="true">
      <alignment horizontal="center" vertical="center"/>
    </xf>
    <xf fontId="15813" applyFont="true" borderId="8" applyBorder="true" applyNumberFormat="true" numFmtId="2" fillId="22" applyFill="true">
      <alignment horizontal="center" vertical="center"/>
    </xf>
    <xf fontId="15814" applyFont="true" borderId="8" applyBorder="true" applyNumberFormat="true" numFmtId="2" fillId="22" applyFill="true">
      <alignment horizontal="center" vertical="center"/>
    </xf>
    <xf fontId="15815" applyFont="true" borderId="8" applyBorder="true" applyNumberFormat="true" numFmtId="2" fillId="22" applyFill="true">
      <alignment horizontal="center" vertical="center"/>
    </xf>
    <xf fontId="15816" applyFont="true" borderId="8" applyBorder="true" applyNumberFormat="true" numFmtId="2" fillId="22" applyFill="true">
      <alignment horizontal="center" vertical="center"/>
    </xf>
    <xf fontId="15817" applyFont="true" borderId="8" applyBorder="true" applyNumberFormat="true" numFmtId="2" fillId="22" applyFill="true">
      <alignment horizontal="center" vertical="center"/>
    </xf>
    <xf fontId="15818" applyFont="true" borderId="8" applyBorder="true" applyNumberFormat="true" numFmtId="2" fillId="22" applyFill="true">
      <alignment horizontal="center" vertical="center"/>
    </xf>
    <xf fontId="15819" applyFont="true" borderId="8" applyBorder="true" applyNumberFormat="true" numFmtId="2" fillId="22" applyFill="true">
      <alignment horizontal="center" vertical="center"/>
    </xf>
    <xf fontId="15820" applyFont="true" borderId="8" applyBorder="true" applyNumberFormat="true" numFmtId="2" fillId="22" applyFill="true">
      <alignment horizontal="center" vertical="center"/>
    </xf>
    <xf fontId="15821" applyFont="true" borderId="8" applyBorder="true" applyNumberFormat="true" numFmtId="2" fillId="22" applyFill="true">
      <alignment horizontal="center" vertical="center"/>
    </xf>
    <xf fontId="15822" applyFont="true" borderId="8" applyBorder="true" applyNumberFormat="true" numFmtId="2" fillId="22" applyFill="true">
      <alignment horizontal="center" vertical="center"/>
    </xf>
    <xf fontId="15823" applyFont="true" borderId="8" applyBorder="true" applyNumberFormat="true" numFmtId="2" fillId="22" applyFill="true">
      <alignment horizontal="center" vertical="center"/>
    </xf>
    <xf fontId="15824" applyFont="true" borderId="8" applyBorder="true" applyNumberFormat="true" numFmtId="2" fillId="22" applyFill="true">
      <alignment horizontal="center" vertical="center"/>
    </xf>
    <xf fontId="15825" applyFont="true" borderId="8" applyBorder="true" applyNumberFormat="true" numFmtId="2" fillId="22" applyFill="true">
      <alignment horizontal="center" vertical="center"/>
    </xf>
    <xf fontId="15826" applyFont="true" borderId="8" applyBorder="true" applyNumberFormat="true" numFmtId="2" fillId="22" applyFill="true">
      <alignment horizontal="center" vertical="center"/>
    </xf>
    <xf fontId="15827" applyFont="true" borderId="8" applyBorder="true" applyNumberFormat="true" numFmtId="2" fillId="22" applyFill="true">
      <alignment horizontal="center" vertical="center"/>
    </xf>
    <xf fontId="15828" applyFont="true" borderId="8" applyBorder="true" applyNumberFormat="true" numFmtId="2" fillId="22" applyFill="true">
      <alignment horizontal="center" vertical="center"/>
    </xf>
    <xf fontId="15829" applyFont="true" borderId="8" applyBorder="true" applyNumberFormat="true" numFmtId="2" fillId="22" applyFill="true">
      <alignment horizontal="center" vertical="center"/>
    </xf>
    <xf fontId="15830" applyFont="true" borderId="8" applyBorder="true" applyNumberFormat="true" numFmtId="2" fillId="22" applyFill="true">
      <alignment horizontal="center" vertical="center"/>
    </xf>
    <xf fontId="15831" applyFont="true" borderId="8" applyBorder="true" applyNumberFormat="true" numFmtId="2" fillId="22" applyFill="true">
      <alignment horizontal="center" vertical="center"/>
    </xf>
    <xf fontId="15832" applyFont="true" borderId="8" applyBorder="true" applyNumberFormat="true" numFmtId="2" fillId="22" applyFill="true">
      <alignment horizontal="center" vertical="center"/>
    </xf>
    <xf fontId="15833" applyFont="true" borderId="8" applyBorder="true" applyNumberFormat="true" numFmtId="2" fillId="22" applyFill="true">
      <alignment horizontal="center" vertical="center"/>
    </xf>
    <xf fontId="15834" applyFont="true" borderId="8" applyBorder="true" applyNumberFormat="true" numFmtId="2" fillId="22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19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applyNumberFormat="true" numFmtId="165" fillId="19" applyFill="true">
      <alignment horizontal="left" vertical="center"/>
    </xf>
    <xf fontId="16226" applyFont="true" borderId="8" applyBorder="true" applyNumberFormat="true" numFmtId="165" fillId="22" applyFill="true">
      <alignment horizontal="center" vertical="center"/>
    </xf>
    <xf fontId="16227" applyFont="true" borderId="8" applyBorder="true" applyNumberFormat="true" numFmtId="166" fillId="22" applyFill="true">
      <alignment horizontal="center" vertical="center"/>
    </xf>
    <xf fontId="16228" applyFont="true" borderId="8" applyBorder="true" applyNumberFormat="true" numFmtId="1" fillId="22" applyFill="true">
      <alignment horizontal="center" vertical="center"/>
    </xf>
    <xf fontId="16229" applyFont="true" borderId="8" applyBorder="true" applyNumberFormat="true" numFmtId="1" fillId="22" applyFill="true">
      <alignment horizontal="center" vertical="center"/>
    </xf>
    <xf fontId="16230" applyFont="true" borderId="8" applyBorder="true" applyNumberFormat="true" numFmtId="1" fillId="22" applyFill="true">
      <alignment horizontal="center" vertical="center"/>
    </xf>
    <xf fontId="16231" applyFont="true" borderId="8" applyBorder="true" applyNumberFormat="true" numFmtId="1" fillId="22" applyFill="true">
      <alignment horizontal="center" vertical="center"/>
    </xf>
    <xf fontId="16232" applyFont="true" borderId="8" applyBorder="true" applyNumberFormat="true" numFmtId="1" fillId="22" applyFill="true">
      <alignment horizontal="center" vertical="center"/>
    </xf>
    <xf fontId="16233" applyFont="true" borderId="8" applyBorder="true" applyNumberFormat="true" numFmtId="1" fillId="22" applyFill="true">
      <alignment horizontal="center" vertical="center"/>
    </xf>
    <xf fontId="16234" applyFont="true" borderId="8" applyBorder="true" applyNumberFormat="true" numFmtId="1" fillId="22" applyFill="true">
      <alignment horizontal="center" vertical="center"/>
    </xf>
    <xf fontId="16235" applyFont="true" borderId="8" applyBorder="true" applyNumberFormat="true" numFmtId="165" fillId="22" applyFill="true">
      <alignment horizontal="center" vertical="center"/>
    </xf>
    <xf fontId="16236" applyFont="true" borderId="8" applyBorder="true" applyNumberFormat="true" numFmtId="165" fillId="22" applyFill="true">
      <alignment horizontal="center" vertical="center"/>
    </xf>
    <xf fontId="16237" applyFont="true" borderId="8" applyBorder="true" applyNumberFormat="true" numFmtId="1" fillId="22" applyFill="true">
      <alignment horizontal="center" vertical="center"/>
    </xf>
    <xf fontId="16238" applyFont="true" borderId="8" applyBorder="true" applyNumberFormat="true" numFmtId="1" fillId="22" applyFill="true">
      <alignment horizontal="center" vertical="center"/>
    </xf>
    <xf fontId="16239" applyFont="true" borderId="8" applyBorder="true" applyNumberFormat="true" numFmtId="1" fillId="22" applyFill="true">
      <alignment horizontal="center" vertical="center"/>
    </xf>
    <xf fontId="16240" applyFont="true" borderId="8" applyBorder="true" applyNumberFormat="true" numFmtId="167" fillId="22" applyFill="true">
      <alignment horizontal="center" vertical="center"/>
    </xf>
    <xf fontId="16241" applyFont="true" borderId="8" applyBorder="true" applyNumberFormat="true" numFmtId="1" fillId="22" applyFill="true">
      <alignment horizontal="center" vertical="center"/>
    </xf>
    <xf fontId="16242" applyFont="true" borderId="8" applyBorder="true" applyNumberFormat="true" numFmtId="167" fillId="22" applyFill="true">
      <alignment horizontal="center" vertical="center"/>
    </xf>
    <xf fontId="16243" applyFont="true" borderId="8" applyBorder="true" applyNumberFormat="true" numFmtId="1" fillId="22" applyFill="true">
      <alignment horizontal="center" vertical="center"/>
    </xf>
    <xf fontId="16244" applyFont="true" borderId="8" applyBorder="true" applyNumberFormat="true" numFmtId="167" fillId="22" applyFill="true">
      <alignment horizontal="center" vertical="center"/>
    </xf>
    <xf fontId="16245" applyFont="true" borderId="8" applyBorder="true" applyNumberFormat="true" numFmtId="1" fillId="22" applyFill="true">
      <alignment horizontal="center" vertical="center"/>
    </xf>
    <xf fontId="16246" applyFont="true" borderId="8" applyBorder="true" applyNumberFormat="true" numFmtId="167" fillId="22" applyFill="true">
      <alignment horizontal="center" vertical="center"/>
    </xf>
    <xf fontId="16247" applyFont="true" borderId="8" applyBorder="true" applyNumberFormat="true" numFmtId="167" fillId="22" applyFill="true">
      <alignment horizontal="center" vertical="center"/>
    </xf>
    <xf fontId="16248" applyFont="true" borderId="8" applyBorder="true" applyNumberFormat="true" numFmtId="1" fillId="22" applyFill="true">
      <alignment horizontal="center" vertical="center"/>
    </xf>
    <xf fontId="16249" applyFont="true" borderId="8" applyBorder="true" applyNumberFormat="true" numFmtId="1" fillId="22" applyFill="true">
      <alignment horizontal="center" vertical="center"/>
    </xf>
    <xf fontId="16250" applyFont="true" borderId="8" applyBorder="true" applyNumberFormat="true" numFmtId="1" fillId="22" applyFill="true">
      <alignment horizontal="center" vertical="center"/>
    </xf>
    <xf fontId="16251" applyFont="true" borderId="8" applyBorder="true" applyNumberFormat="true" numFmtId="167" fillId="22" applyFill="true">
      <alignment horizontal="center" vertical="center"/>
    </xf>
    <xf fontId="16252" applyFont="true" borderId="8" applyBorder="true" applyNumberFormat="true" numFmtId="166" fillId="22" applyFill="true">
      <alignment horizontal="center" vertical="center"/>
    </xf>
    <xf fontId="16253" applyFont="true" borderId="8" applyBorder="true" applyNumberFormat="true" numFmtId="166" fillId="22" applyFill="true">
      <alignment horizontal="center" vertical="center"/>
    </xf>
    <xf fontId="16254" applyFont="true" borderId="8" applyBorder="true" applyNumberFormat="true" numFmtId="1" fillId="22" applyFill="true">
      <alignment horizontal="center" vertical="center"/>
    </xf>
    <xf fontId="16255" applyFont="true" borderId="8" applyBorder="true" applyNumberFormat="true" numFmtId="1" fillId="22" applyFill="true">
      <alignment horizontal="center" vertical="center"/>
    </xf>
    <xf fontId="16256" applyFont="true" borderId="8" applyBorder="true" applyNumberFormat="true" numFmtId="1" fillId="22" applyFill="true">
      <alignment horizontal="center" vertical="center"/>
    </xf>
    <xf fontId="16257" applyFont="true" borderId="8" applyBorder="true" applyNumberFormat="true" numFmtId="167" fillId="22" applyFill="true">
      <alignment horizontal="center" vertical="center"/>
    </xf>
    <xf fontId="16258" applyFont="true" borderId="8" applyBorder="true" applyNumberFormat="true" numFmtId="1" fillId="22" applyFill="true">
      <alignment horizontal="center" vertical="center"/>
    </xf>
    <xf fontId="16259" applyFont="true" borderId="8" applyBorder="true" applyNumberFormat="true" numFmtId="167" fillId="22" applyFill="true">
      <alignment horizontal="center" vertical="center"/>
    </xf>
    <xf fontId="16260" applyFont="true" borderId="8" applyBorder="true" applyNumberFormat="true" numFmtId="1" fillId="22" applyFill="true">
      <alignment horizontal="center" vertical="center"/>
    </xf>
    <xf fontId="16261" applyFont="true" borderId="8" applyBorder="true" applyNumberFormat="true" numFmtId="1" fillId="22" applyFill="true">
      <alignment horizontal="center" vertical="center"/>
    </xf>
    <xf fontId="16262" applyFont="true" borderId="8" applyBorder="true" applyNumberFormat="true" numFmtId="1" fillId="22" applyFill="true">
      <alignment horizontal="center" vertical="center"/>
    </xf>
    <xf fontId="16263" applyFont="true" borderId="8" applyBorder="true" applyNumberFormat="true" numFmtId="1" fillId="22" applyFill="true">
      <alignment horizontal="center" vertical="center"/>
    </xf>
    <xf fontId="16264" applyFont="true" borderId="8" applyBorder="true" applyNumberFormat="true" numFmtId="167" fillId="22" applyFill="true">
      <alignment horizontal="center" vertical="center"/>
    </xf>
    <xf fontId="16265" applyFont="true" borderId="8" applyBorder="true" applyNumberFormat="true" numFmtId="1" fillId="22" applyFill="true">
      <alignment horizontal="center" vertical="center"/>
    </xf>
    <xf fontId="16266" applyFont="true" borderId="8" applyBorder="true" applyNumberFormat="true" numFmtId="167" fillId="22" applyFill="true">
      <alignment horizontal="center" vertical="center"/>
    </xf>
    <xf fontId="16267" applyFont="true" borderId="8" applyBorder="true" applyNumberFormat="true" numFmtId="1" fillId="22" applyFill="true">
      <alignment horizontal="center" vertical="center"/>
    </xf>
    <xf fontId="16268" applyFont="true" borderId="8" applyBorder="true" applyNumberFormat="true" numFmtId="167" fillId="22" applyFill="true">
      <alignment horizontal="center" vertical="center"/>
    </xf>
    <xf fontId="16269" applyFont="true" borderId="8" applyBorder="true" applyNumberFormat="true" numFmtId="2" fillId="22" applyFill="true">
      <alignment horizontal="center" vertical="center"/>
    </xf>
    <xf fontId="16270" applyFont="true" borderId="8" applyBorder="true" applyNumberFormat="true" numFmtId="2" fillId="22" applyFill="true">
      <alignment horizontal="center" vertical="center"/>
    </xf>
    <xf fontId="16271" applyFont="true" borderId="8" applyBorder="true" applyNumberFormat="true" numFmtId="2" fillId="22" applyFill="true">
      <alignment horizontal="center" vertical="center"/>
    </xf>
    <xf fontId="16272" applyFont="true" borderId="8" applyBorder="true" applyNumberFormat="true" numFmtId="2" fillId="22" applyFill="true">
      <alignment horizontal="center" vertical="center"/>
    </xf>
    <xf fontId="16273" applyFont="true" borderId="8" applyBorder="true" applyNumberFormat="true" numFmtId="2" fillId="22" applyFill="true">
      <alignment horizontal="center" vertical="center"/>
    </xf>
    <xf fontId="16274" applyFont="true" borderId="8" applyBorder="true" applyNumberFormat="true" numFmtId="2" fillId="22" applyFill="true">
      <alignment horizontal="center" vertical="center"/>
    </xf>
    <xf fontId="16275" applyFont="true" borderId="8" applyBorder="true" applyNumberFormat="true" numFmtId="2" fillId="22" applyFill="true">
      <alignment horizontal="center" vertical="center"/>
    </xf>
    <xf fontId="16276" applyFont="true" borderId="8" applyBorder="true" applyNumberFormat="true" numFmtId="2" fillId="22" applyFill="true">
      <alignment horizontal="center" vertical="center"/>
    </xf>
    <xf fontId="16277" applyFont="true" borderId="8" applyBorder="true" applyNumberFormat="true" numFmtId="2" fillId="22" applyFill="true">
      <alignment horizontal="center" vertical="center"/>
    </xf>
    <xf fontId="16278" applyFont="true" borderId="8" applyBorder="true" applyNumberFormat="true" numFmtId="2" fillId="22" applyFill="true">
      <alignment horizontal="center" vertical="center"/>
    </xf>
    <xf fontId="16279" applyFont="true" borderId="8" applyBorder="true" applyNumberFormat="true" numFmtId="2" fillId="22" applyFill="true">
      <alignment horizontal="center" vertical="center"/>
    </xf>
    <xf fontId="16280" applyFont="true" borderId="8" applyBorder="true" applyNumberFormat="true" numFmtId="2" fillId="22" applyFill="true">
      <alignment horizontal="center" vertical="center"/>
    </xf>
    <xf fontId="16281" applyFont="true" borderId="8" applyBorder="true" applyNumberFormat="true" numFmtId="2" fillId="22" applyFill="true">
      <alignment horizontal="center" vertical="center"/>
    </xf>
    <xf fontId="16282" applyFont="true" borderId="8" applyBorder="true" applyNumberFormat="true" numFmtId="2" fillId="22" applyFill="true">
      <alignment horizontal="center" vertical="center"/>
    </xf>
    <xf fontId="16283" applyFont="true" borderId="8" applyBorder="true" applyNumberFormat="true" numFmtId="2" fillId="22" applyFill="true">
      <alignment horizontal="center" vertical="center"/>
    </xf>
    <xf fontId="16284" applyFont="true" borderId="8" applyBorder="true" applyNumberFormat="true" numFmtId="2" fillId="22" applyFill="true">
      <alignment horizontal="center" vertical="center"/>
    </xf>
    <xf fontId="16285" applyFont="true" borderId="8" applyBorder="true" applyNumberFormat="true" numFmtId="2" fillId="22" applyFill="true">
      <alignment horizontal="center" vertical="center"/>
    </xf>
    <xf fontId="16286" applyFont="true" borderId="8" applyBorder="true" applyNumberFormat="true" numFmtId="2" fillId="22" applyFill="true">
      <alignment horizontal="center" vertical="center"/>
    </xf>
    <xf fontId="16287" applyFont="true" borderId="8" applyBorder="true" applyNumberFormat="true" numFmtId="2" fillId="22" applyFill="true">
      <alignment horizontal="center" vertical="center"/>
    </xf>
    <xf fontId="16288" applyFont="true" borderId="8" applyBorder="true" applyNumberFormat="true" numFmtId="2" fillId="22" applyFill="true">
      <alignment horizontal="center" vertical="center"/>
    </xf>
    <xf fontId="16289" applyFont="true" borderId="8" applyBorder="true" applyNumberFormat="true" numFmtId="2" fillId="22" applyFill="true">
      <alignment horizontal="center" vertical="center"/>
    </xf>
    <xf fontId="16290" applyFont="true" borderId="8" applyBorder="true" applyNumberFormat="true" numFmtId="2" fillId="22" applyFill="true">
      <alignment horizontal="center" vertical="center"/>
    </xf>
    <xf fontId="16291" applyFont="true" borderId="8" applyBorder="true" applyNumberFormat="true" numFmtId="2" fillId="22" applyFill="true">
      <alignment horizontal="center" vertical="center"/>
    </xf>
    <xf fontId="16292" applyFont="true" borderId="8" applyBorder="true" applyNumberFormat="true" numFmtId="2" fillId="22" applyFill="true">
      <alignment horizontal="center" vertical="center"/>
    </xf>
    <xf fontId="16293" applyFont="true" borderId="8" applyBorder="true" applyNumberFormat="true" numFmtId="2" fillId="22" applyFill="true">
      <alignment horizontal="center" vertical="center"/>
    </xf>
    <xf fontId="16294" applyFont="true" borderId="8" applyBorder="true" applyNumberFormat="true" numFmtId="2" fillId="22" applyFill="true">
      <alignment horizontal="center" vertical="center"/>
    </xf>
    <xf fontId="16295" applyFont="true" borderId="8" applyBorder="true" applyNumberFormat="true" numFmtId="2" fillId="22" applyFill="true">
      <alignment horizontal="center" vertical="center"/>
    </xf>
    <xf fontId="16296" applyFont="true" borderId="8" applyBorder="true" applyNumberFormat="true" numFmtId="2" fillId="22" applyFill="true">
      <alignment horizontal="center" vertical="center"/>
    </xf>
    <xf fontId="16297" applyFont="true" borderId="8" applyBorder="true" applyNumberFormat="true" numFmtId="2" fillId="22" applyFill="true">
      <alignment horizontal="center" vertical="center"/>
    </xf>
    <xf fontId="16298" applyFont="true" borderId="8" applyBorder="true" applyNumberFormat="true" numFmtId="2" fillId="22" applyFill="true">
      <alignment horizontal="center" vertical="center"/>
    </xf>
    <xf fontId="16299" applyFont="true" borderId="8" applyBorder="true" applyNumberFormat="true" numFmtId="2" fillId="22" applyFill="true">
      <alignment horizontal="center" vertical="center"/>
    </xf>
    <xf fontId="16300" applyFont="true" borderId="8" applyBorder="true" applyNumberFormat="true" numFmtId="2" fillId="22" applyFill="true">
      <alignment horizontal="center" vertical="center"/>
    </xf>
    <xf fontId="16301" applyFont="true" borderId="8" applyBorder="true" applyNumberFormat="true" numFmtId="2" fillId="22" applyFill="true">
      <alignment horizontal="center" vertical="center"/>
    </xf>
    <xf fontId="16302" applyFont="true" borderId="8" applyBorder="true" applyNumberFormat="true" numFmtId="2" fillId="22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19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6" fillId="22" applyFill="true">
      <alignment horizontal="center" vertical="center"/>
    </xf>
    <xf fontId="16540" applyFont="true" borderId="8" applyBorder="true" applyNumberFormat="true" numFmtId="1" fillId="22" applyFill="true">
      <alignment horizontal="center" vertical="center"/>
    </xf>
    <xf fontId="16541" applyFont="true" borderId="8" applyBorder="true" applyNumberFormat="true" numFmtId="1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65" fillId="22" applyFill="true">
      <alignment horizontal="center" vertical="center"/>
    </xf>
    <xf fontId="16548" applyFont="true" borderId="8" applyBorder="true" applyNumberFormat="true" numFmtId="165" fillId="22" applyFill="true">
      <alignment horizontal="center" vertical="center"/>
    </xf>
    <xf fontId="16549" applyFont="true" borderId="8" applyBorder="true" applyNumberFormat="true" numFmtId="1" fillId="22" applyFill="true">
      <alignment horizontal="center" vertical="center"/>
    </xf>
    <xf fontId="16550" applyFont="true" borderId="8" applyBorder="true" applyNumberFormat="true" numFmtId="1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67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67" fillId="22" applyFill="true">
      <alignment horizontal="center" vertical="center"/>
    </xf>
    <xf fontId="16560" applyFont="true" borderId="8" applyBorder="true" applyNumberFormat="true" numFmtId="1" fillId="22" applyFill="true">
      <alignment horizontal="center" vertical="center"/>
    </xf>
    <xf fontId="16561" applyFont="true" borderId="8" applyBorder="true" applyNumberFormat="true" numFmtId="1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67" fillId="22" applyFill="true">
      <alignment horizontal="center" vertical="center"/>
    </xf>
    <xf fontId="16564" applyFont="true" borderId="8" applyBorder="true" applyNumberFormat="true" numFmtId="166" fillId="22" applyFill="true">
      <alignment horizontal="center" vertical="center"/>
    </xf>
    <xf fontId="16565" applyFont="true" borderId="8" applyBorder="true" applyNumberFormat="true" numFmtId="166" fillId="22" applyFill="true">
      <alignment horizontal="center" vertical="center"/>
    </xf>
    <xf fontId="16566" applyFont="true" borderId="8" applyBorder="true" applyNumberFormat="true" numFmtId="1" fillId="22" applyFill="true">
      <alignment horizontal="center" vertical="center"/>
    </xf>
    <xf fontId="16567" applyFont="true" borderId="8" applyBorder="true" applyNumberFormat="true" numFmtId="1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67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67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2" fillId="22" applyFill="true">
      <alignment horizontal="center" vertical="center"/>
    </xf>
    <xf fontId="16582" applyFont="true" borderId="8" applyBorder="true" applyNumberFormat="true" numFmtId="2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165" fillId="19" applyFill="true">
      <alignment horizontal="left" vertical="center"/>
    </xf>
    <xf fontId="16616" applyFont="true" borderId="8" applyBorder="true" applyNumberFormat="true" numFmtId="165" fillId="22" applyFill="true">
      <alignment horizontal="center" vertical="center"/>
    </xf>
    <xf fontId="16617" applyFont="true" borderId="8" applyBorder="true" applyNumberFormat="true" numFmtId="166" fillId="22" applyFill="true">
      <alignment horizontal="center" vertical="center"/>
    </xf>
    <xf fontId="16618" applyFont="true" borderId="8" applyBorder="true" applyNumberFormat="true" numFmtId="1" fillId="22" applyFill="true">
      <alignment horizontal="center" vertical="center"/>
    </xf>
    <xf fontId="16619" applyFont="true" borderId="8" applyBorder="true" applyNumberFormat="true" numFmtId="1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65" fillId="22" applyFill="true">
      <alignment horizontal="center" vertical="center"/>
    </xf>
    <xf fontId="16626" applyFont="true" borderId="8" applyBorder="true" applyNumberFormat="true" numFmtId="165" fillId="22" applyFill="true">
      <alignment horizontal="center" vertical="center"/>
    </xf>
    <xf fontId="16627" applyFont="true" borderId="8" applyBorder="true" applyNumberFormat="true" numFmtId="1" fillId="22" applyFill="true">
      <alignment horizontal="center" vertical="center"/>
    </xf>
    <xf fontId="16628" applyFont="true" borderId="8" applyBorder="true" applyNumberFormat="true" numFmtId="1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67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67" fillId="22" applyFill="true">
      <alignment horizontal="center" vertical="center"/>
    </xf>
    <xf fontId="16638" applyFont="true" borderId="8" applyBorder="true" applyNumberFormat="true" numFmtId="1" fillId="22" applyFill="true">
      <alignment horizontal="center" vertical="center"/>
    </xf>
    <xf fontId="16639" applyFont="true" borderId="8" applyBorder="true" applyNumberFormat="true" numFmtId="1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67" fillId="22" applyFill="true">
      <alignment horizontal="center" vertical="center"/>
    </xf>
    <xf fontId="16642" applyFont="true" borderId="8" applyBorder="true" applyNumberFormat="true" numFmtId="166" fillId="22" applyFill="true">
      <alignment horizontal="center" vertical="center"/>
    </xf>
    <xf fontId="16643" applyFont="true" borderId="8" applyBorder="true" applyNumberFormat="true" numFmtId="166" fillId="22" applyFill="true">
      <alignment horizontal="center" vertical="center"/>
    </xf>
    <xf fontId="16644" applyFont="true" borderId="8" applyBorder="true" applyNumberFormat="true" numFmtId="1" fillId="22" applyFill="true">
      <alignment horizontal="center" vertical="center"/>
    </xf>
    <xf fontId="16645" applyFont="true" borderId="8" applyBorder="true" applyNumberFormat="true" numFmtId="1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67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67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2" fillId="22" applyFill="true">
      <alignment horizontal="center" vertical="center"/>
    </xf>
    <xf fontId="16660" applyFont="true" borderId="8" applyBorder="true" applyNumberFormat="true" numFmtId="2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165" fillId="19" applyFill="true">
      <alignment horizontal="left" vertical="center"/>
    </xf>
    <xf fontId="16694" applyFont="true" borderId="8" applyBorder="true" applyNumberFormat="true" numFmtId="165" fillId="22" applyFill="true">
      <alignment horizontal="center" vertical="center"/>
    </xf>
    <xf fontId="16695" applyFont="true" borderId="8" applyBorder="true" applyNumberFormat="true" numFmtId="166" fillId="22" applyFill="true">
      <alignment horizontal="center" vertical="center"/>
    </xf>
    <xf fontId="16696" applyFont="true" borderId="8" applyBorder="true" applyNumberFormat="true" numFmtId="1" fillId="22" applyFill="true">
      <alignment horizontal="center" vertical="center"/>
    </xf>
    <xf fontId="16697" applyFont="true" borderId="8" applyBorder="true" applyNumberFormat="true" numFmtId="1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65" fillId="22" applyFill="true">
      <alignment horizontal="center" vertical="center"/>
    </xf>
    <xf fontId="16704" applyFont="true" borderId="8" applyBorder="true" applyNumberFormat="true" numFmtId="165" fillId="22" applyFill="true">
      <alignment horizontal="center" vertical="center"/>
    </xf>
    <xf fontId="16705" applyFont="true" borderId="8" applyBorder="true" applyNumberFormat="true" numFmtId="1" fillId="22" applyFill="true">
      <alignment horizontal="center" vertical="center"/>
    </xf>
    <xf fontId="16706" applyFont="true" borderId="8" applyBorder="true" applyNumberFormat="true" numFmtId="1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67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67" fillId="22" applyFill="true">
      <alignment horizontal="center" vertical="center"/>
    </xf>
    <xf fontId="16716" applyFont="true" borderId="8" applyBorder="true" applyNumberFormat="true" numFmtId="1" fillId="22" applyFill="true">
      <alignment horizontal="center" vertical="center"/>
    </xf>
    <xf fontId="16717" applyFont="true" borderId="8" applyBorder="true" applyNumberFormat="true" numFmtId="1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67" fillId="22" applyFill="true">
      <alignment horizontal="center" vertical="center"/>
    </xf>
    <xf fontId="16720" applyFont="true" borderId="8" applyBorder="true" applyNumberFormat="true" numFmtId="166" fillId="22" applyFill="true">
      <alignment horizontal="center" vertical="center"/>
    </xf>
    <xf fontId="16721" applyFont="true" borderId="8" applyBorder="true" applyNumberFormat="true" numFmtId="166" fillId="22" applyFill="true">
      <alignment horizontal="center" vertical="center"/>
    </xf>
    <xf fontId="16722" applyFont="true" borderId="8" applyBorder="true" applyNumberFormat="true" numFmtId="1" fillId="22" applyFill="true">
      <alignment horizontal="center" vertical="center"/>
    </xf>
    <xf fontId="16723" applyFont="true" borderId="8" applyBorder="true" applyNumberFormat="true" numFmtId="1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67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67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2" fillId="22" applyFill="true">
      <alignment horizontal="center" vertical="center"/>
    </xf>
    <xf fontId="16738" applyFont="true" borderId="8" applyBorder="true" applyNumberFormat="true" numFmtId="2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165" fillId="19" applyFill="true">
      <alignment horizontal="left" vertical="center"/>
    </xf>
    <xf fontId="16772" applyFont="true" borderId="8" applyBorder="true" applyNumberFormat="true" numFmtId="165" fillId="22" applyFill="true">
      <alignment horizontal="center" vertical="center"/>
    </xf>
    <xf fontId="16773" applyFont="true" borderId="8" applyBorder="true" applyNumberFormat="true" numFmtId="166" fillId="22" applyFill="true">
      <alignment horizontal="center" vertical="center"/>
    </xf>
    <xf fontId="16774" applyFont="true" borderId="8" applyBorder="true" applyNumberFormat="true" numFmtId="1" fillId="22" applyFill="true">
      <alignment horizontal="center" vertical="center"/>
    </xf>
    <xf fontId="16775" applyFont="true" borderId="8" applyBorder="true" applyNumberFormat="true" numFmtId="1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65" fillId="22" applyFill="true">
      <alignment horizontal="center" vertical="center"/>
    </xf>
    <xf fontId="16782" applyFont="true" borderId="8" applyBorder="true" applyNumberFormat="true" numFmtId="165" fillId="22" applyFill="true">
      <alignment horizontal="center" vertical="center"/>
    </xf>
    <xf fontId="16783" applyFont="true" borderId="8" applyBorder="true" applyNumberFormat="true" numFmtId="1" fillId="22" applyFill="true">
      <alignment horizontal="center" vertical="center"/>
    </xf>
    <xf fontId="16784" applyFont="true" borderId="8" applyBorder="true" applyNumberFormat="true" numFmtId="1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67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67" fillId="22" applyFill="true">
      <alignment horizontal="center" vertical="center"/>
    </xf>
    <xf fontId="16794" applyFont="true" borderId="8" applyBorder="true" applyNumberFormat="true" numFmtId="1" fillId="22" applyFill="true">
      <alignment horizontal="center" vertical="center"/>
    </xf>
    <xf fontId="16795" applyFont="true" borderId="8" applyBorder="true" applyNumberFormat="true" numFmtId="1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67" fillId="22" applyFill="true">
      <alignment horizontal="center" vertical="center"/>
    </xf>
    <xf fontId="16798" applyFont="true" borderId="8" applyBorder="true" applyNumberFormat="true" numFmtId="166" fillId="22" applyFill="true">
      <alignment horizontal="center" vertical="center"/>
    </xf>
    <xf fontId="16799" applyFont="true" borderId="8" applyBorder="true" applyNumberFormat="true" numFmtId="166" fillId="22" applyFill="true">
      <alignment horizontal="center" vertical="center"/>
    </xf>
    <xf fontId="16800" applyFont="true" borderId="8" applyBorder="true" applyNumberFormat="true" numFmtId="1" fillId="22" applyFill="true">
      <alignment horizontal="center" vertical="center"/>
    </xf>
    <xf fontId="16801" applyFont="true" borderId="8" applyBorder="true" applyNumberFormat="true" numFmtId="1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67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67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2" fillId="22" applyFill="true">
      <alignment horizontal="center" vertical="center"/>
    </xf>
    <xf fontId="16816" applyFont="true" borderId="8" applyBorder="true" applyNumberFormat="true" numFmtId="2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165" fillId="19" applyFill="true">
      <alignment horizontal="left" vertical="center"/>
    </xf>
    <xf fontId="16850" applyFont="true" borderId="8" applyBorder="true" applyNumberFormat="true" numFmtId="165" fillId="22" applyFill="true">
      <alignment horizontal="center" vertical="center"/>
    </xf>
    <xf fontId="16851" applyFont="true" borderId="8" applyBorder="true" applyNumberFormat="true" numFmtId="166" fillId="22" applyFill="true">
      <alignment horizontal="center" vertical="center"/>
    </xf>
    <xf fontId="16852" applyFont="true" borderId="8" applyBorder="true" applyNumberFormat="true" numFmtId="1" fillId="22" applyFill="true">
      <alignment horizontal="center" vertical="center"/>
    </xf>
    <xf fontId="16853" applyFont="true" borderId="8" applyBorder="true" applyNumberFormat="true" numFmtId="1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65" fillId="22" applyFill="true">
      <alignment horizontal="center" vertical="center"/>
    </xf>
    <xf fontId="16860" applyFont="true" borderId="8" applyBorder="true" applyNumberFormat="true" numFmtId="165" fillId="22" applyFill="true">
      <alignment horizontal="center" vertical="center"/>
    </xf>
    <xf fontId="16861" applyFont="true" borderId="8" applyBorder="true" applyNumberFormat="true" numFmtId="1" fillId="22" applyFill="true">
      <alignment horizontal="center" vertical="center"/>
    </xf>
    <xf fontId="16862" applyFont="true" borderId="8" applyBorder="true" applyNumberFormat="true" numFmtId="1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67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67" fillId="22" applyFill="true">
      <alignment horizontal="center" vertical="center"/>
    </xf>
    <xf fontId="16872" applyFont="true" borderId="8" applyBorder="true" applyNumberFormat="true" numFmtId="1" fillId="22" applyFill="true">
      <alignment horizontal="center" vertical="center"/>
    </xf>
    <xf fontId="16873" applyFont="true" borderId="8" applyBorder="true" applyNumberFormat="true" numFmtId="1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67" fillId="22" applyFill="true">
      <alignment horizontal="center" vertical="center"/>
    </xf>
    <xf fontId="16876" applyFont="true" borderId="8" applyBorder="true" applyNumberFormat="true" numFmtId="166" fillId="22" applyFill="true">
      <alignment horizontal="center" vertical="center"/>
    </xf>
    <xf fontId="16877" applyFont="true" borderId="8" applyBorder="true" applyNumberFormat="true" numFmtId="166" fillId="22" applyFill="true">
      <alignment horizontal="center" vertical="center"/>
    </xf>
    <xf fontId="16878" applyFont="true" borderId="8" applyBorder="true" applyNumberFormat="true" numFmtId="1" fillId="22" applyFill="true">
      <alignment horizontal="center" vertical="center"/>
    </xf>
    <xf fontId="16879" applyFont="true" borderId="8" applyBorder="true" applyNumberFormat="true" numFmtId="1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67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67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2" fillId="22" applyFill="true">
      <alignment horizontal="center" vertical="center"/>
    </xf>
    <xf fontId="16894" applyFont="true" borderId="8" applyBorder="true" applyNumberFormat="true" numFmtId="2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165" fillId="19" applyFill="true">
      <alignment horizontal="left" vertical="center"/>
    </xf>
    <xf fontId="16928" applyFont="true" borderId="8" applyBorder="true" applyNumberFormat="true" numFmtId="165" fillId="22" applyFill="true">
      <alignment horizontal="center" vertical="center"/>
    </xf>
    <xf fontId="16929" applyFont="true" borderId="8" applyBorder="true" applyNumberFormat="true" numFmtId="166" fillId="22" applyFill="true">
      <alignment horizontal="center" vertical="center"/>
    </xf>
    <xf fontId="16930" applyFont="true" borderId="8" applyBorder="true" applyNumberFormat="true" numFmtId="1" fillId="22" applyFill="true">
      <alignment horizontal="center" vertical="center"/>
    </xf>
    <xf fontId="16931" applyFont="true" borderId="8" applyBorder="true" applyNumberFormat="true" numFmtId="1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65" fillId="22" applyFill="true">
      <alignment horizontal="center" vertical="center"/>
    </xf>
    <xf fontId="16938" applyFont="true" borderId="8" applyBorder="true" applyNumberFormat="true" numFmtId="165" fillId="22" applyFill="true">
      <alignment horizontal="center" vertical="center"/>
    </xf>
    <xf fontId="16939" applyFont="true" borderId="8" applyBorder="true" applyNumberFormat="true" numFmtId="1" fillId="22" applyFill="true">
      <alignment horizontal="center" vertical="center"/>
    </xf>
    <xf fontId="16940" applyFont="true" borderId="8" applyBorder="true" applyNumberFormat="true" numFmtId="1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67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67" fillId="22" applyFill="true">
      <alignment horizontal="center" vertical="center"/>
    </xf>
    <xf fontId="16950" applyFont="true" borderId="8" applyBorder="true" applyNumberFormat="true" numFmtId="1" fillId="22" applyFill="true">
      <alignment horizontal="center" vertical="center"/>
    </xf>
    <xf fontId="16951" applyFont="true" borderId="8" applyBorder="true" applyNumberFormat="true" numFmtId="1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67" fillId="22" applyFill="true">
      <alignment horizontal="center" vertical="center"/>
    </xf>
    <xf fontId="16954" applyFont="true" borderId="8" applyBorder="true" applyNumberFormat="true" numFmtId="166" fillId="22" applyFill="true">
      <alignment horizontal="center" vertical="center"/>
    </xf>
    <xf fontId="16955" applyFont="true" borderId="8" applyBorder="true" applyNumberFormat="true" numFmtId="166" fillId="22" applyFill="true">
      <alignment horizontal="center" vertical="center"/>
    </xf>
    <xf fontId="16956" applyFont="true" borderId="8" applyBorder="true" applyNumberFormat="true" numFmtId="1" fillId="22" applyFill="true">
      <alignment horizontal="center" vertical="center"/>
    </xf>
    <xf fontId="16957" applyFont="true" borderId="8" applyBorder="true" applyNumberFormat="true" numFmtId="1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67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67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2" fillId="22" applyFill="true">
      <alignment horizontal="center" vertical="center"/>
    </xf>
    <xf fontId="16972" applyFont="true" borderId="8" applyBorder="true" applyNumberFormat="true" numFmtId="2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165" fillId="19" applyFill="true">
      <alignment horizontal="left" vertical="center"/>
    </xf>
    <xf fontId="17006" applyFont="true" borderId="8" applyBorder="true" applyNumberFormat="true" numFmtId="165" fillId="22" applyFill="true">
      <alignment horizontal="center" vertical="center"/>
    </xf>
    <xf fontId="17007" applyFont="true" borderId="8" applyBorder="true" applyNumberFormat="true" numFmtId="166" fillId="22" applyFill="true">
      <alignment horizontal="center" vertical="center"/>
    </xf>
    <xf fontId="17008" applyFont="true" borderId="8" applyBorder="true" applyNumberFormat="true" numFmtId="1" fillId="22" applyFill="true">
      <alignment horizontal="center" vertical="center"/>
    </xf>
    <xf fontId="17009" applyFont="true" borderId="8" applyBorder="true" applyNumberFormat="true" numFmtId="1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65" fillId="22" applyFill="true">
      <alignment horizontal="center" vertical="center"/>
    </xf>
    <xf fontId="17016" applyFont="true" borderId="8" applyBorder="true" applyNumberFormat="true" numFmtId="165" fillId="22" applyFill="true">
      <alignment horizontal="center" vertical="center"/>
    </xf>
    <xf fontId="17017" applyFont="true" borderId="8" applyBorder="true" applyNumberFormat="true" numFmtId="1" fillId="22" applyFill="true">
      <alignment horizontal="center" vertical="center"/>
    </xf>
    <xf fontId="17018" applyFont="true" borderId="8" applyBorder="true" applyNumberFormat="true" numFmtId="1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67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67" fillId="22" applyFill="true">
      <alignment horizontal="center" vertical="center"/>
    </xf>
    <xf fontId="17028" applyFont="true" borderId="8" applyBorder="true" applyNumberFormat="true" numFmtId="1" fillId="22" applyFill="true">
      <alignment horizontal="center" vertical="center"/>
    </xf>
    <xf fontId="17029" applyFont="true" borderId="8" applyBorder="true" applyNumberFormat="true" numFmtId="1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67" fillId="22" applyFill="true">
      <alignment horizontal="center" vertical="center"/>
    </xf>
    <xf fontId="17032" applyFont="true" borderId="8" applyBorder="true" applyNumberFormat="true" numFmtId="166" fillId="22" applyFill="true">
      <alignment horizontal="center" vertical="center"/>
    </xf>
    <xf fontId="17033" applyFont="true" borderId="8" applyBorder="true" applyNumberFormat="true" numFmtId="166" fillId="22" applyFill="true">
      <alignment horizontal="center" vertical="center"/>
    </xf>
    <xf fontId="17034" applyFont="true" borderId="8" applyBorder="true" applyNumberFormat="true" numFmtId="1" fillId="22" applyFill="true">
      <alignment horizontal="center" vertical="center"/>
    </xf>
    <xf fontId="17035" applyFont="true" borderId="8" applyBorder="true" applyNumberFormat="true" numFmtId="1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67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67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2" fillId="22" applyFill="true">
      <alignment horizontal="center" vertical="center"/>
    </xf>
    <xf fontId="17050" applyFont="true" borderId="8" applyBorder="true" applyNumberFormat="true" numFmtId="2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165" fillId="19" applyFill="true">
      <alignment horizontal="left" vertical="center"/>
    </xf>
    <xf fontId="17084" applyFont="true" borderId="8" applyBorder="true" applyNumberFormat="true" numFmtId="165" fillId="22" applyFill="true">
      <alignment horizontal="center" vertical="center"/>
    </xf>
    <xf fontId="17085" applyFont="true" borderId="8" applyBorder="true" applyNumberFormat="true" numFmtId="166" fillId="22" applyFill="true">
      <alignment horizontal="center" vertical="center"/>
    </xf>
    <xf fontId="17086" applyFont="true" borderId="8" applyBorder="true" applyNumberFormat="true" numFmtId="1" fillId="22" applyFill="true">
      <alignment horizontal="center" vertical="center"/>
    </xf>
    <xf fontId="17087" applyFont="true" borderId="8" applyBorder="true" applyNumberFormat="true" numFmtId="1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65" fillId="22" applyFill="true">
      <alignment horizontal="center" vertical="center"/>
    </xf>
    <xf fontId="17094" applyFont="true" borderId="8" applyBorder="true" applyNumberFormat="true" numFmtId="165" fillId="22" applyFill="true">
      <alignment horizontal="center" vertical="center"/>
    </xf>
    <xf fontId="17095" applyFont="true" borderId="8" applyBorder="true" applyNumberFormat="true" numFmtId="1" fillId="22" applyFill="true">
      <alignment horizontal="center" vertical="center"/>
    </xf>
    <xf fontId="17096" applyFont="true" borderId="8" applyBorder="true" applyNumberFormat="true" numFmtId="1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67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67" fillId="22" applyFill="true">
      <alignment horizontal="center" vertical="center"/>
    </xf>
    <xf fontId="17106" applyFont="true" borderId="8" applyBorder="true" applyNumberFormat="true" numFmtId="1" fillId="22" applyFill="true">
      <alignment horizontal="center" vertical="center"/>
    </xf>
    <xf fontId="17107" applyFont="true" borderId="8" applyBorder="true" applyNumberFormat="true" numFmtId="1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67" fillId="22" applyFill="true">
      <alignment horizontal="center" vertical="center"/>
    </xf>
    <xf fontId="17110" applyFont="true" borderId="8" applyBorder="true" applyNumberFormat="true" numFmtId="166" fillId="22" applyFill="true">
      <alignment horizontal="center" vertical="center"/>
    </xf>
    <xf fontId="17111" applyFont="true" borderId="8" applyBorder="true" applyNumberFormat="true" numFmtId="166" fillId="22" applyFill="true">
      <alignment horizontal="center" vertical="center"/>
    </xf>
    <xf fontId="17112" applyFont="true" borderId="8" applyBorder="true" applyNumberFormat="true" numFmtId="1" fillId="22" applyFill="true">
      <alignment horizontal="center" vertical="center"/>
    </xf>
    <xf fontId="17113" applyFont="true" borderId="8" applyBorder="true" applyNumberFormat="true" numFmtId="1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67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67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2" fillId="22" applyFill="true">
      <alignment horizontal="center" vertical="center"/>
    </xf>
    <xf fontId="17128" applyFont="true" borderId="8" applyBorder="true" applyNumberFormat="true" numFmtId="2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165" fillId="19" applyFill="true">
      <alignment horizontal="left" vertical="center"/>
    </xf>
    <xf fontId="17162" applyFont="true" borderId="8" applyBorder="true" applyNumberFormat="true" numFmtId="165" fillId="22" applyFill="true">
      <alignment horizontal="center" vertical="center"/>
    </xf>
    <xf fontId="17163" applyFont="true" borderId="8" applyBorder="true" applyNumberFormat="true" numFmtId="166" fillId="22" applyFill="true">
      <alignment horizontal="center" vertical="center"/>
    </xf>
    <xf fontId="17164" applyFont="true" borderId="8" applyBorder="true" applyNumberFormat="true" numFmtId="1" fillId="22" applyFill="true">
      <alignment horizontal="center" vertical="center"/>
    </xf>
    <xf fontId="17165" applyFont="true" borderId="8" applyBorder="true" applyNumberFormat="true" numFmtId="1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65" fillId="22" applyFill="true">
      <alignment horizontal="center" vertical="center"/>
    </xf>
    <xf fontId="17172" applyFont="true" borderId="8" applyBorder="true" applyNumberFormat="true" numFmtId="165" fillId="22" applyFill="true">
      <alignment horizontal="center" vertical="center"/>
    </xf>
    <xf fontId="17173" applyFont="true" borderId="8" applyBorder="true" applyNumberFormat="true" numFmtId="1" fillId="22" applyFill="true">
      <alignment horizontal="center" vertical="center"/>
    </xf>
    <xf fontId="17174" applyFont="true" borderId="8" applyBorder="true" applyNumberFormat="true" numFmtId="1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67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67" fillId="22" applyFill="true">
      <alignment horizontal="center" vertical="center"/>
    </xf>
    <xf fontId="17184" applyFont="true" borderId="8" applyBorder="true" applyNumberFormat="true" numFmtId="1" fillId="22" applyFill="true">
      <alignment horizontal="center" vertical="center"/>
    </xf>
    <xf fontId="17185" applyFont="true" borderId="8" applyBorder="true" applyNumberFormat="true" numFmtId="1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67" fillId="22" applyFill="true">
      <alignment horizontal="center" vertical="center"/>
    </xf>
    <xf fontId="17188" applyFont="true" borderId="8" applyBorder="true" applyNumberFormat="true" numFmtId="166" fillId="22" applyFill="true">
      <alignment horizontal="center" vertical="center"/>
    </xf>
    <xf fontId="17189" applyFont="true" borderId="8" applyBorder="true" applyNumberFormat="true" numFmtId="166" fillId="22" applyFill="true">
      <alignment horizontal="center" vertical="center"/>
    </xf>
    <xf fontId="17190" applyFont="true" borderId="8" applyBorder="true" applyNumberFormat="true" numFmtId="1" fillId="22" applyFill="true">
      <alignment horizontal="center" vertical="center"/>
    </xf>
    <xf fontId="17191" applyFont="true" borderId="8" applyBorder="true" applyNumberFormat="true" numFmtId="1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67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67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2" fillId="22" applyFill="true">
      <alignment horizontal="center" vertical="center"/>
    </xf>
    <xf fontId="17206" applyFont="true" borderId="8" applyBorder="true" applyNumberFormat="true" numFmtId="2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165" fillId="19" applyFill="true">
      <alignment horizontal="left" vertical="center"/>
    </xf>
    <xf fontId="17240" applyFont="true" borderId="8" applyBorder="true" applyNumberFormat="true" numFmtId="165" fillId="22" applyFill="true">
      <alignment horizontal="center" vertical="center"/>
    </xf>
    <xf fontId="17241" applyFont="true" borderId="8" applyBorder="true" applyNumberFormat="true" numFmtId="166" fillId="22" applyFill="true">
      <alignment horizontal="center" vertical="center"/>
    </xf>
    <xf fontId="17242" applyFont="true" borderId="8" applyBorder="true" applyNumberFormat="true" numFmtId="1" fillId="22" applyFill="true">
      <alignment horizontal="center" vertical="center"/>
    </xf>
    <xf fontId="17243" applyFont="true" borderId="8" applyBorder="true" applyNumberFormat="true" numFmtId="1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65" fillId="22" applyFill="true">
      <alignment horizontal="center" vertical="center"/>
    </xf>
    <xf fontId="17250" applyFont="true" borderId="8" applyBorder="true" applyNumberFormat="true" numFmtId="165" fillId="22" applyFill="true">
      <alignment horizontal="center" vertical="center"/>
    </xf>
    <xf fontId="17251" applyFont="true" borderId="8" applyBorder="true" applyNumberFormat="true" numFmtId="1" fillId="22" applyFill="true">
      <alignment horizontal="center" vertical="center"/>
    </xf>
    <xf fontId="17252" applyFont="true" borderId="8" applyBorder="true" applyNumberFormat="true" numFmtId="1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67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67" fillId="22" applyFill="true">
      <alignment horizontal="center" vertical="center"/>
    </xf>
    <xf fontId="17262" applyFont="true" borderId="8" applyBorder="true" applyNumberFormat="true" numFmtId="1" fillId="22" applyFill="true">
      <alignment horizontal="center" vertical="center"/>
    </xf>
    <xf fontId="17263" applyFont="true" borderId="8" applyBorder="true" applyNumberFormat="true" numFmtId="1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67" fillId="22" applyFill="true">
      <alignment horizontal="center" vertical="center"/>
    </xf>
    <xf fontId="17266" applyFont="true" borderId="8" applyBorder="true" applyNumberFormat="true" numFmtId="166" fillId="22" applyFill="true">
      <alignment horizontal="center" vertical="center"/>
    </xf>
    <xf fontId="17267" applyFont="true" borderId="8" applyBorder="true" applyNumberFormat="true" numFmtId="166" fillId="22" applyFill="true">
      <alignment horizontal="center" vertical="center"/>
    </xf>
    <xf fontId="17268" applyFont="true" borderId="8" applyBorder="true" applyNumberFormat="true" numFmtId="1" fillId="22" applyFill="true">
      <alignment horizontal="center" vertical="center"/>
    </xf>
    <xf fontId="17269" applyFont="true" borderId="8" applyBorder="true" applyNumberFormat="true" numFmtId="1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67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67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2" fillId="22" applyFill="true">
      <alignment horizontal="center" vertical="center"/>
    </xf>
    <xf fontId="17284" applyFont="true" borderId="8" applyBorder="true" applyNumberFormat="true" numFmtId="2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165" fillId="19" applyFill="true">
      <alignment horizontal="left" vertical="center"/>
    </xf>
    <xf fontId="17318" applyFont="true" borderId="8" applyBorder="true" applyNumberFormat="true" numFmtId="165" fillId="22" applyFill="true">
      <alignment horizontal="center" vertical="center"/>
    </xf>
    <xf fontId="17319" applyFont="true" borderId="8" applyBorder="true" applyNumberFormat="true" numFmtId="166" fillId="22" applyFill="true">
      <alignment horizontal="center" vertical="center"/>
    </xf>
    <xf fontId="17320" applyFont="true" borderId="8" applyBorder="true" applyNumberFormat="true" numFmtId="1" fillId="22" applyFill="true">
      <alignment horizontal="center" vertical="center"/>
    </xf>
    <xf fontId="17321" applyFont="true" borderId="8" applyBorder="true" applyNumberFormat="true" numFmtId="1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65" fillId="22" applyFill="true">
      <alignment horizontal="center" vertical="center"/>
    </xf>
    <xf fontId="17328" applyFont="true" borderId="8" applyBorder="true" applyNumberFormat="true" numFmtId="165" fillId="22" applyFill="true">
      <alignment horizontal="center" vertical="center"/>
    </xf>
    <xf fontId="17329" applyFont="true" borderId="8" applyBorder="true" applyNumberFormat="true" numFmtId="1" fillId="22" applyFill="true">
      <alignment horizontal="center" vertical="center"/>
    </xf>
    <xf fontId="17330" applyFont="true" borderId="8" applyBorder="true" applyNumberFormat="true" numFmtId="1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67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67" fillId="22" applyFill="true">
      <alignment horizontal="center" vertical="center"/>
    </xf>
    <xf fontId="17340" applyFont="true" borderId="8" applyBorder="true" applyNumberFormat="true" numFmtId="1" fillId="22" applyFill="true">
      <alignment horizontal="center" vertical="center"/>
    </xf>
    <xf fontId="17341" applyFont="true" borderId="8" applyBorder="true" applyNumberFormat="true" numFmtId="1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67" fillId="22" applyFill="true">
      <alignment horizontal="center" vertical="center"/>
    </xf>
    <xf fontId="17344" applyFont="true" borderId="8" applyBorder="true" applyNumberFormat="true" numFmtId="166" fillId="22" applyFill="true">
      <alignment horizontal="center" vertical="center"/>
    </xf>
    <xf fontId="17345" applyFont="true" borderId="8" applyBorder="true" applyNumberFormat="true" numFmtId="166" fillId="22" applyFill="true">
      <alignment horizontal="center" vertical="center"/>
    </xf>
    <xf fontId="17346" applyFont="true" borderId="8" applyBorder="true" applyNumberFormat="true" numFmtId="1" fillId="22" applyFill="true">
      <alignment horizontal="center" vertical="center"/>
    </xf>
    <xf fontId="17347" applyFont="true" borderId="8" applyBorder="true" applyNumberFormat="true" numFmtId="1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67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67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2" fillId="22" applyFill="true">
      <alignment horizontal="center" vertical="center"/>
    </xf>
    <xf fontId="17362" applyFont="true" borderId="8" applyBorder="true" applyNumberFormat="true" numFmtId="2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165" fillId="19" applyFill="true">
      <alignment horizontal="left" vertical="center"/>
    </xf>
    <xf fontId="17396" applyFont="true" borderId="8" applyBorder="true" applyNumberFormat="true" numFmtId="165" fillId="22" applyFill="true">
      <alignment horizontal="center" vertical="center"/>
    </xf>
    <xf fontId="17397" applyFont="true" borderId="8" applyBorder="true" applyNumberFormat="true" numFmtId="166" fillId="22" applyFill="true">
      <alignment horizontal="center" vertical="center"/>
    </xf>
    <xf fontId="17398" applyFont="true" borderId="8" applyBorder="true" applyNumberFormat="true" numFmtId="1" fillId="22" applyFill="true">
      <alignment horizontal="center" vertical="center"/>
    </xf>
    <xf fontId="17399" applyFont="true" borderId="8" applyBorder="true" applyNumberFormat="true" numFmtId="1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65" fillId="22" applyFill="true">
      <alignment horizontal="center" vertical="center"/>
    </xf>
    <xf fontId="17406" applyFont="true" borderId="8" applyBorder="true" applyNumberFormat="true" numFmtId="165" fillId="22" applyFill="true">
      <alignment horizontal="center" vertical="center"/>
    </xf>
    <xf fontId="17407" applyFont="true" borderId="8" applyBorder="true" applyNumberFormat="true" numFmtId="1" fillId="22" applyFill="true">
      <alignment horizontal="center" vertical="center"/>
    </xf>
    <xf fontId="17408" applyFont="true" borderId="8" applyBorder="true" applyNumberFormat="true" numFmtId="1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67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67" fillId="22" applyFill="true">
      <alignment horizontal="center" vertical="center"/>
    </xf>
    <xf fontId="17418" applyFont="true" borderId="8" applyBorder="true" applyNumberFormat="true" numFmtId="1" fillId="22" applyFill="true">
      <alignment horizontal="center" vertical="center"/>
    </xf>
    <xf fontId="17419" applyFont="true" borderId="8" applyBorder="true" applyNumberFormat="true" numFmtId="1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67" fillId="22" applyFill="true">
      <alignment horizontal="center" vertical="center"/>
    </xf>
    <xf fontId="17422" applyFont="true" borderId="8" applyBorder="true" applyNumberFormat="true" numFmtId="166" fillId="22" applyFill="true">
      <alignment horizontal="center" vertical="center"/>
    </xf>
    <xf fontId="17423" applyFont="true" borderId="8" applyBorder="true" applyNumberFormat="true" numFmtId="166" fillId="22" applyFill="true">
      <alignment horizontal="center" vertical="center"/>
    </xf>
    <xf fontId="17424" applyFont="true" borderId="8" applyBorder="true" applyNumberFormat="true" numFmtId="1" fillId="22" applyFill="true">
      <alignment horizontal="center" vertical="center"/>
    </xf>
    <xf fontId="17425" applyFont="true" borderId="8" applyBorder="true" applyNumberFormat="true" numFmtId="1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67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67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2" fillId="22" applyFill="true">
      <alignment horizontal="center" vertical="center"/>
    </xf>
    <xf fontId="17440" applyFont="true" borderId="8" applyBorder="true" applyNumberFormat="true" numFmtId="2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165" fillId="19" applyFill="true">
      <alignment horizontal="left" vertical="center"/>
    </xf>
    <xf fontId="17474" applyFont="true" borderId="8" applyBorder="true" applyNumberFormat="true" numFmtId="165" fillId="22" applyFill="true">
      <alignment horizontal="center" vertical="center"/>
    </xf>
    <xf fontId="17475" applyFont="true" borderId="8" applyBorder="true" applyNumberFormat="true" numFmtId="166" fillId="22" applyFill="true">
      <alignment horizontal="center" vertical="center"/>
    </xf>
    <xf fontId="17476" applyFont="true" borderId="8" applyBorder="true" applyNumberFormat="true" numFmtId="1" fillId="22" applyFill="true">
      <alignment horizontal="center" vertical="center"/>
    </xf>
    <xf fontId="17477" applyFont="true" borderId="8" applyBorder="true" applyNumberFormat="true" numFmtId="1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65" fillId="22" applyFill="true">
      <alignment horizontal="center" vertical="center"/>
    </xf>
    <xf fontId="17484" applyFont="true" borderId="8" applyBorder="true" applyNumberFormat="true" numFmtId="165" fillId="22" applyFill="true">
      <alignment horizontal="center" vertical="center"/>
    </xf>
    <xf fontId="17485" applyFont="true" borderId="8" applyBorder="true" applyNumberFormat="true" numFmtId="1" fillId="22" applyFill="true">
      <alignment horizontal="center" vertical="center"/>
    </xf>
    <xf fontId="17486" applyFont="true" borderId="8" applyBorder="true" applyNumberFormat="true" numFmtId="1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67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67" fillId="22" applyFill="true">
      <alignment horizontal="center" vertical="center"/>
    </xf>
    <xf fontId="17496" applyFont="true" borderId="8" applyBorder="true" applyNumberFormat="true" numFmtId="1" fillId="22" applyFill="true">
      <alignment horizontal="center" vertical="center"/>
    </xf>
    <xf fontId="17497" applyFont="true" borderId="8" applyBorder="true" applyNumberFormat="true" numFmtId="1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67" fillId="22" applyFill="true">
      <alignment horizontal="center" vertical="center"/>
    </xf>
    <xf fontId="17500" applyFont="true" borderId="8" applyBorder="true" applyNumberFormat="true" numFmtId="166" fillId="22" applyFill="true">
      <alignment horizontal="center" vertical="center"/>
    </xf>
    <xf fontId="17501" applyFont="true" borderId="8" applyBorder="true" applyNumberFormat="true" numFmtId="166" fillId="22" applyFill="true">
      <alignment horizontal="center" vertical="center"/>
    </xf>
    <xf fontId="17502" applyFont="true" borderId="8" applyBorder="true" applyNumberFormat="true" numFmtId="1" fillId="22" applyFill="true">
      <alignment horizontal="center" vertical="center"/>
    </xf>
    <xf fontId="17503" applyFont="true" borderId="8" applyBorder="true" applyNumberFormat="true" numFmtId="1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67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67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2" fillId="22" applyFill="true">
      <alignment horizontal="center" vertical="center"/>
    </xf>
    <xf fontId="17518" applyFont="true" borderId="8" applyBorder="true" applyNumberFormat="true" numFmtId="2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165" fillId="19" applyFill="true">
      <alignment horizontal="left" vertical="center"/>
    </xf>
    <xf fontId="17552" applyFont="true" borderId="8" applyBorder="true" applyNumberFormat="true" numFmtId="165" fillId="22" applyFill="true">
      <alignment horizontal="center" vertical="center"/>
    </xf>
    <xf fontId="17553" applyFont="true" borderId="8" applyBorder="true" applyNumberFormat="true" numFmtId="166" fillId="22" applyFill="true">
      <alignment horizontal="center" vertical="center"/>
    </xf>
    <xf fontId="17554" applyFont="true" borderId="8" applyBorder="true" applyNumberFormat="true" numFmtId="1" fillId="22" applyFill="true">
      <alignment horizontal="center" vertical="center"/>
    </xf>
    <xf fontId="17555" applyFont="true" borderId="8" applyBorder="true" applyNumberFormat="true" numFmtId="1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65" fillId="22" applyFill="true">
      <alignment horizontal="center" vertical="center"/>
    </xf>
    <xf fontId="17562" applyFont="true" borderId="8" applyBorder="true" applyNumberFormat="true" numFmtId="165" fillId="22" applyFill="true">
      <alignment horizontal="center" vertical="center"/>
    </xf>
    <xf fontId="17563" applyFont="true" borderId="8" applyBorder="true" applyNumberFormat="true" numFmtId="1" fillId="22" applyFill="true">
      <alignment horizontal="center" vertical="center"/>
    </xf>
    <xf fontId="17564" applyFont="true" borderId="8" applyBorder="true" applyNumberFormat="true" numFmtId="1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67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67" fillId="22" applyFill="true">
      <alignment horizontal="center" vertical="center"/>
    </xf>
    <xf fontId="17574" applyFont="true" borderId="8" applyBorder="true" applyNumberFormat="true" numFmtId="1" fillId="22" applyFill="true">
      <alignment horizontal="center" vertical="center"/>
    </xf>
    <xf fontId="17575" applyFont="true" borderId="8" applyBorder="true" applyNumberFormat="true" numFmtId="1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67" fillId="22" applyFill="true">
      <alignment horizontal="center" vertical="center"/>
    </xf>
    <xf fontId="17578" applyFont="true" borderId="8" applyBorder="true" applyNumberFormat="true" numFmtId="166" fillId="22" applyFill="true">
      <alignment horizontal="center" vertical="center"/>
    </xf>
    <xf fontId="17579" applyFont="true" borderId="8" applyBorder="true" applyNumberFormat="true" numFmtId="166" fillId="22" applyFill="true">
      <alignment horizontal="center" vertical="center"/>
    </xf>
    <xf fontId="17580" applyFont="true" borderId="8" applyBorder="true" applyNumberFormat="true" numFmtId="1" fillId="22" applyFill="true">
      <alignment horizontal="center" vertical="center"/>
    </xf>
    <xf fontId="17581" applyFont="true" borderId="8" applyBorder="true" applyNumberFormat="true" numFmtId="1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67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67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2" fillId="22" applyFill="true">
      <alignment horizontal="center" vertical="center"/>
    </xf>
    <xf fontId="17596" applyFont="true" borderId="8" applyBorder="true" applyNumberFormat="true" numFmtId="2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165" fillId="19" applyFill="true">
      <alignment horizontal="left" vertical="center"/>
    </xf>
    <xf fontId="17630" applyFont="true" borderId="8" applyBorder="true" applyNumberFormat="true" numFmtId="165" fillId="22" applyFill="true">
      <alignment horizontal="center" vertical="center"/>
    </xf>
    <xf fontId="17631" applyFont="true" borderId="8" applyBorder="true" applyNumberFormat="true" numFmtId="166" fillId="22" applyFill="true">
      <alignment horizontal="center" vertical="center"/>
    </xf>
    <xf fontId="17632" applyFont="true" borderId="8" applyBorder="true" applyNumberFormat="true" numFmtId="1" fillId="22" applyFill="true">
      <alignment horizontal="center" vertical="center"/>
    </xf>
    <xf fontId="17633" applyFont="true" borderId="8" applyBorder="true" applyNumberFormat="true" numFmtId="1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65" fillId="22" applyFill="true">
      <alignment horizontal="center" vertical="center"/>
    </xf>
    <xf fontId="17640" applyFont="true" borderId="8" applyBorder="true" applyNumberFormat="true" numFmtId="165" fillId="22" applyFill="true">
      <alignment horizontal="center" vertical="center"/>
    </xf>
    <xf fontId="17641" applyFont="true" borderId="8" applyBorder="true" applyNumberFormat="true" numFmtId="1" fillId="22" applyFill="true">
      <alignment horizontal="center" vertical="center"/>
    </xf>
    <xf fontId="17642" applyFont="true" borderId="8" applyBorder="true" applyNumberFormat="true" numFmtId="1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67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67" fillId="22" applyFill="true">
      <alignment horizontal="center" vertical="center"/>
    </xf>
    <xf fontId="17652" applyFont="true" borderId="8" applyBorder="true" applyNumberFormat="true" numFmtId="1" fillId="22" applyFill="true">
      <alignment horizontal="center" vertical="center"/>
    </xf>
    <xf fontId="17653" applyFont="true" borderId="8" applyBorder="true" applyNumberFormat="true" numFmtId="1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67" fillId="22" applyFill="true">
      <alignment horizontal="center" vertical="center"/>
    </xf>
    <xf fontId="17656" applyFont="true" borderId="8" applyBorder="true" applyNumberFormat="true" numFmtId="166" fillId="22" applyFill="true">
      <alignment horizontal="center" vertical="center"/>
    </xf>
    <xf fontId="17657" applyFont="true" borderId="8" applyBorder="true" applyNumberFormat="true" numFmtId="166" fillId="22" applyFill="true">
      <alignment horizontal="center" vertical="center"/>
    </xf>
    <xf fontId="17658" applyFont="true" borderId="8" applyBorder="true" applyNumberFormat="true" numFmtId="1" fillId="22" applyFill="true">
      <alignment horizontal="center" vertical="center"/>
    </xf>
    <xf fontId="17659" applyFont="true" borderId="8" applyBorder="true" applyNumberFormat="true" numFmtId="1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67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67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2" fillId="22" applyFill="true">
      <alignment horizontal="center" vertical="center"/>
    </xf>
    <xf fontId="17674" applyFont="true" borderId="8" applyBorder="true" applyNumberFormat="true" numFmtId="2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165" fillId="19" applyFill="true">
      <alignment horizontal="left" vertical="center"/>
    </xf>
    <xf fontId="17708" applyFont="true" borderId="8" applyBorder="true" applyNumberFormat="true" numFmtId="165" fillId="22" applyFill="true">
      <alignment horizontal="center" vertical="center"/>
    </xf>
    <xf fontId="17709" applyFont="true" borderId="8" applyBorder="true" applyNumberFormat="true" numFmtId="166" fillId="22" applyFill="true">
      <alignment horizontal="center" vertical="center"/>
    </xf>
    <xf fontId="17710" applyFont="true" borderId="8" applyBorder="true" applyNumberFormat="true" numFmtId="1" fillId="22" applyFill="true">
      <alignment horizontal="center" vertical="center"/>
    </xf>
    <xf fontId="17711" applyFont="true" borderId="8" applyBorder="true" applyNumberFormat="true" numFmtId="1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65" fillId="22" applyFill="true">
      <alignment horizontal="center" vertical="center"/>
    </xf>
    <xf fontId="17718" applyFont="true" borderId="8" applyBorder="true" applyNumberFormat="true" numFmtId="165" fillId="22" applyFill="true">
      <alignment horizontal="center" vertical="center"/>
    </xf>
    <xf fontId="17719" applyFont="true" borderId="8" applyBorder="true" applyNumberFormat="true" numFmtId="1" fillId="22" applyFill="true">
      <alignment horizontal="center" vertical="center"/>
    </xf>
    <xf fontId="17720" applyFont="true" borderId="8" applyBorder="true" applyNumberFormat="true" numFmtId="1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67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67" fillId="22" applyFill="true">
      <alignment horizontal="center" vertical="center"/>
    </xf>
    <xf fontId="17730" applyFont="true" borderId="8" applyBorder="true" applyNumberFormat="true" numFmtId="1" fillId="22" applyFill="true">
      <alignment horizontal="center" vertical="center"/>
    </xf>
    <xf fontId="17731" applyFont="true" borderId="8" applyBorder="true" applyNumberFormat="true" numFmtId="1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67" fillId="22" applyFill="true">
      <alignment horizontal="center" vertical="center"/>
    </xf>
    <xf fontId="17734" applyFont="true" borderId="8" applyBorder="true" applyNumberFormat="true" numFmtId="166" fillId="22" applyFill="true">
      <alignment horizontal="center" vertical="center"/>
    </xf>
    <xf fontId="17735" applyFont="true" borderId="8" applyBorder="true" applyNumberFormat="true" numFmtId="166" fillId="22" applyFill="true">
      <alignment horizontal="center" vertical="center"/>
    </xf>
    <xf fontId="17736" applyFont="true" borderId="8" applyBorder="true" applyNumberFormat="true" numFmtId="1" fillId="22" applyFill="true">
      <alignment horizontal="center" vertical="center"/>
    </xf>
    <xf fontId="17737" applyFont="true" borderId="8" applyBorder="true" applyNumberFormat="true" numFmtId="1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67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67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2" fillId="22" applyFill="true">
      <alignment horizontal="center" vertical="center"/>
    </xf>
    <xf fontId="17752" applyFont="true" borderId="8" applyBorder="true" applyNumberFormat="true" numFmtId="2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165" fillId="19" applyFill="true">
      <alignment horizontal="left" vertical="center"/>
    </xf>
    <xf fontId="17786" applyFont="true" borderId="8" applyBorder="true" applyNumberFormat="true" numFmtId="165" fillId="22" applyFill="true">
      <alignment horizontal="center" vertical="center"/>
    </xf>
    <xf fontId="17787" applyFont="true" borderId="8" applyBorder="true" applyNumberFormat="true" numFmtId="166" fillId="22" applyFill="true">
      <alignment horizontal="center" vertical="center"/>
    </xf>
    <xf fontId="17788" applyFont="true" borderId="8" applyBorder="true" applyNumberFormat="true" numFmtId="1" fillId="22" applyFill="true">
      <alignment horizontal="center" vertical="center"/>
    </xf>
    <xf fontId="17789" applyFont="true" borderId="8" applyBorder="true" applyNumberFormat="true" numFmtId="1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65" fillId="22" applyFill="true">
      <alignment horizontal="center" vertical="center"/>
    </xf>
    <xf fontId="17796" applyFont="true" borderId="8" applyBorder="true" applyNumberFormat="true" numFmtId="165" fillId="22" applyFill="true">
      <alignment horizontal="center" vertical="center"/>
    </xf>
    <xf fontId="17797" applyFont="true" borderId="8" applyBorder="true" applyNumberFormat="true" numFmtId="1" fillId="22" applyFill="true">
      <alignment horizontal="center" vertical="center"/>
    </xf>
    <xf fontId="17798" applyFont="true" borderId="8" applyBorder="true" applyNumberFormat="true" numFmtId="1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67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67" fillId="22" applyFill="true">
      <alignment horizontal="center" vertical="center"/>
    </xf>
    <xf fontId="17808" applyFont="true" borderId="8" applyBorder="true" applyNumberFormat="true" numFmtId="1" fillId="22" applyFill="true">
      <alignment horizontal="center" vertical="center"/>
    </xf>
    <xf fontId="17809" applyFont="true" borderId="8" applyBorder="true" applyNumberFormat="true" numFmtId="1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67" fillId="22" applyFill="true">
      <alignment horizontal="center" vertical="center"/>
    </xf>
    <xf fontId="17812" applyFont="true" borderId="8" applyBorder="true" applyNumberFormat="true" numFmtId="166" fillId="22" applyFill="true">
      <alignment horizontal="center" vertical="center"/>
    </xf>
    <xf fontId="17813" applyFont="true" borderId="8" applyBorder="true" applyNumberFormat="true" numFmtId="166" fillId="22" applyFill="true">
      <alignment horizontal="center" vertical="center"/>
    </xf>
    <xf fontId="17814" applyFont="true" borderId="8" applyBorder="true" applyNumberFormat="true" numFmtId="1" fillId="22" applyFill="true">
      <alignment horizontal="center" vertical="center"/>
    </xf>
    <xf fontId="17815" applyFont="true" borderId="8" applyBorder="true" applyNumberFormat="true" numFmtId="1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67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67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2" fillId="22" applyFill="true">
      <alignment horizontal="center" vertical="center"/>
    </xf>
    <xf fontId="17830" applyFont="true" borderId="8" applyBorder="true" applyNumberFormat="true" numFmtId="2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165" fillId="19" applyFill="true">
      <alignment horizontal="left" vertical="center"/>
    </xf>
    <xf fontId="17864" applyFont="true" borderId="8" applyBorder="true" applyNumberFormat="true" numFmtId="165" fillId="22" applyFill="true">
      <alignment horizontal="center" vertical="center"/>
    </xf>
    <xf fontId="17865" applyFont="true" borderId="8" applyBorder="true" applyNumberFormat="true" numFmtId="165" fillId="19" applyFill="true">
      <alignment horizontal="left" vertical="center"/>
    </xf>
    <xf fontId="17866" applyFont="true" borderId="8" applyBorder="true" applyNumberFormat="true" numFmtId="165" fillId="22" applyFill="true">
      <alignment horizontal="center" vertical="center"/>
    </xf>
    <xf fontId="17867" applyFont="true" borderId="8" applyBorder="true" applyNumberFormat="true" numFmtId="166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" fillId="22" applyFill="true">
      <alignment horizontal="center" vertical="center"/>
    </xf>
    <xf fontId="17874" applyFont="true" borderId="8" applyBorder="true" applyNumberFormat="true" numFmtId="1" fillId="22" applyFill="true">
      <alignment horizontal="center" vertical="center"/>
    </xf>
    <xf fontId="17875" applyFont="true" borderId="8" applyBorder="true" applyNumberFormat="true" numFmtId="165" fillId="22" applyFill="true">
      <alignment horizontal="center" vertical="center"/>
    </xf>
    <xf fontId="17876" applyFont="true" borderId="8" applyBorder="true" applyNumberFormat="true" numFmtId="165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" fillId="22" applyFill="true">
      <alignment horizontal="center" vertical="center"/>
    </xf>
    <xf fontId="17886" applyFont="true" borderId="8" applyBorder="true" applyNumberFormat="true" numFmtId="167" fillId="22" applyFill="true">
      <alignment horizontal="center" vertical="center"/>
    </xf>
    <xf fontId="17887" applyFont="true" borderId="8" applyBorder="true" applyNumberFormat="true" numFmtId="167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" fillId="22" applyFill="true">
      <alignment horizontal="center" vertical="center"/>
    </xf>
    <xf fontId="17890" applyFont="true" borderId="8" applyBorder="true" applyNumberFormat="true" numFmtId="1" fillId="22" applyFill="true">
      <alignment horizontal="center" vertical="center"/>
    </xf>
    <xf fontId="17891" applyFont="true" borderId="8" applyBorder="true" applyNumberFormat="true" numFmtId="167" fillId="22" applyFill="true">
      <alignment horizontal="center" vertical="center"/>
    </xf>
    <xf fontId="17892" applyFont="true" borderId="8" applyBorder="true" applyNumberFormat="true" numFmtId="166" fillId="22" applyFill="true">
      <alignment horizontal="center" vertical="center"/>
    </xf>
    <xf fontId="17893" applyFont="true" borderId="8" applyBorder="true" applyNumberFormat="true" numFmtId="166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67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1" fillId="22" applyFill="true">
      <alignment horizontal="center" vertical="center"/>
    </xf>
    <xf fontId="17908" applyFont="true" borderId="8" applyBorder="true" applyNumberFormat="true" numFmtId="167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2" fillId="22" applyFill="true">
      <alignment horizontal="center" vertical="center"/>
    </xf>
    <xf fontId="17942" applyFont="true" borderId="8" applyBorder="true" applyNumberFormat="true" numFmtId="2" fillId="22" applyFill="true">
      <alignment horizontal="center" vertical="center"/>
    </xf>
    <xf fontId="17943" applyFont="true" borderId="8" applyBorder="true" applyNumberFormat="true" numFmtId="165" fillId="19" applyFill="true">
      <alignment horizontal="left" vertical="center"/>
    </xf>
    <xf fontId="17944" applyFont="true" borderId="8" applyBorder="true" applyNumberFormat="true" numFmtId="165" fillId="22" applyFill="true">
      <alignment horizontal="center" vertical="center"/>
    </xf>
    <xf fontId="17945" applyFont="true" borderId="8" applyBorder="true" applyNumberFormat="true" numFmtId="166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" fillId="22" applyFill="true">
      <alignment horizontal="center" vertical="center"/>
    </xf>
    <xf fontId="17952" applyFont="true" borderId="8" applyBorder="true" applyNumberFormat="true" numFmtId="1" fillId="22" applyFill="true">
      <alignment horizontal="center" vertical="center"/>
    </xf>
    <xf fontId="17953" applyFont="true" borderId="8" applyBorder="true" applyNumberFormat="true" numFmtId="165" fillId="22" applyFill="true">
      <alignment horizontal="center" vertical="center"/>
    </xf>
    <xf fontId="17954" applyFont="true" borderId="8" applyBorder="true" applyNumberFormat="true" numFmtId="165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" fillId="22" applyFill="true">
      <alignment horizontal="center" vertical="center"/>
    </xf>
    <xf fontId="17964" applyFont="true" borderId="8" applyBorder="true" applyNumberFormat="true" numFmtId="167" fillId="22" applyFill="true">
      <alignment horizontal="center" vertical="center"/>
    </xf>
    <xf fontId="17965" applyFont="true" borderId="8" applyBorder="true" applyNumberFormat="true" numFmtId="167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" fillId="22" applyFill="true">
      <alignment horizontal="center" vertical="center"/>
    </xf>
    <xf fontId="17968" applyFont="true" borderId="8" applyBorder="true" applyNumberFormat="true" numFmtId="1" fillId="22" applyFill="true">
      <alignment horizontal="center" vertical="center"/>
    </xf>
    <xf fontId="17969" applyFont="true" borderId="8" applyBorder="true" applyNumberFormat="true" numFmtId="167" fillId="22" applyFill="true">
      <alignment horizontal="center" vertical="center"/>
    </xf>
    <xf fontId="17970" applyFont="true" borderId="8" applyBorder="true" applyNumberFormat="true" numFmtId="166" fillId="22" applyFill="true">
      <alignment horizontal="center" vertical="center"/>
    </xf>
    <xf fontId="17971" applyFont="true" borderId="8" applyBorder="true" applyNumberFormat="true" numFmtId="166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67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1" fillId="22" applyFill="true">
      <alignment horizontal="center" vertical="center"/>
    </xf>
    <xf fontId="17986" applyFont="true" borderId="8" applyBorder="true" applyNumberFormat="true" numFmtId="167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2" fillId="22" applyFill="true">
      <alignment horizontal="center" vertical="center"/>
    </xf>
    <xf fontId="18020" applyFont="true" borderId="8" applyBorder="true" applyNumberFormat="true" numFmtId="2" fillId="22" applyFill="true">
      <alignment horizontal="center" vertical="center"/>
    </xf>
    <xf fontId="18021" applyFont="true" borderId="8" applyBorder="true" applyNumberFormat="true" numFmtId="165" fillId="19" applyFill="true">
      <alignment horizontal="left" vertical="center"/>
    </xf>
    <xf fontId="18022" applyFont="true" borderId="8" applyBorder="true" applyNumberFormat="true" numFmtId="165" fillId="22" applyFill="true">
      <alignment horizontal="center" vertical="center"/>
    </xf>
    <xf fontId="18023" applyFont="true" borderId="8" applyBorder="true" applyNumberFormat="true" numFmtId="166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" fillId="22" applyFill="true">
      <alignment horizontal="center" vertical="center"/>
    </xf>
    <xf fontId="18030" applyFont="true" borderId="8" applyBorder="true" applyNumberFormat="true" numFmtId="1" fillId="22" applyFill="true">
      <alignment horizontal="center" vertical="center"/>
    </xf>
    <xf fontId="18031" applyFont="true" borderId="8" applyBorder="true" applyNumberFormat="true" numFmtId="165" fillId="22" applyFill="true">
      <alignment horizontal="center" vertical="center"/>
    </xf>
    <xf fontId="18032" applyFont="true" borderId="8" applyBorder="true" applyNumberFormat="true" numFmtId="165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" fillId="22" applyFill="true">
      <alignment horizontal="center" vertical="center"/>
    </xf>
    <xf fontId="18042" applyFont="true" borderId="8" applyBorder="true" applyNumberFormat="true" numFmtId="167" fillId="22" applyFill="true">
      <alignment horizontal="center" vertical="center"/>
    </xf>
    <xf fontId="18043" applyFont="true" borderId="8" applyBorder="true" applyNumberFormat="true" numFmtId="167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" fillId="22" applyFill="true">
      <alignment horizontal="center" vertical="center"/>
    </xf>
    <xf fontId="18046" applyFont="true" borderId="8" applyBorder="true" applyNumberFormat="true" numFmtId="1" fillId="22" applyFill="true">
      <alignment horizontal="center" vertical="center"/>
    </xf>
    <xf fontId="18047" applyFont="true" borderId="8" applyBorder="true" applyNumberFormat="true" numFmtId="167" fillId="22" applyFill="true">
      <alignment horizontal="center" vertical="center"/>
    </xf>
    <xf fontId="18048" applyFont="true" borderId="8" applyBorder="true" applyNumberFormat="true" numFmtId="166" fillId="22" applyFill="true">
      <alignment horizontal="center" vertical="center"/>
    </xf>
    <xf fontId="18049" applyFont="true" borderId="8" applyBorder="true" applyNumberFormat="true" numFmtId="166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67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1" fillId="22" applyFill="true">
      <alignment horizontal="center" vertical="center"/>
    </xf>
    <xf fontId="18064" applyFont="true" borderId="8" applyBorder="true" applyNumberFormat="true" numFmtId="167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2" fillId="22" applyFill="true">
      <alignment horizontal="center" vertical="center"/>
    </xf>
    <xf fontId="18098" applyFont="true" borderId="8" applyBorder="true" applyNumberFormat="true" numFmtId="2" fillId="22" applyFill="true">
      <alignment horizontal="center" vertical="center"/>
    </xf>
    <xf fontId="18099" applyFont="true" borderId="8" applyBorder="true" applyNumberFormat="true" numFmtId="165" fillId="19" applyFill="true">
      <alignment horizontal="left" vertical="center"/>
    </xf>
    <xf fontId="18100" applyFont="true" borderId="8" applyBorder="true" applyNumberFormat="true" numFmtId="165" fillId="22" applyFill="true">
      <alignment horizontal="center" vertical="center"/>
    </xf>
    <xf fontId="18101" applyFont="true" borderId="8" applyBorder="true" applyNumberFormat="true" numFmtId="166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" fillId="22" applyFill="true">
      <alignment horizontal="center" vertical="center"/>
    </xf>
    <xf fontId="18108" applyFont="true" borderId="8" applyBorder="true" applyNumberFormat="true" numFmtId="1" fillId="22" applyFill="true">
      <alignment horizontal="center" vertical="center"/>
    </xf>
    <xf fontId="18109" applyFont="true" borderId="8" applyBorder="true" applyNumberFormat="true" numFmtId="165" fillId="22" applyFill="true">
      <alignment horizontal="center" vertical="center"/>
    </xf>
    <xf fontId="18110" applyFont="true" borderId="8" applyBorder="true" applyNumberFormat="true" numFmtId="165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" fillId="22" applyFill="true">
      <alignment horizontal="center" vertical="center"/>
    </xf>
    <xf fontId="18120" applyFont="true" borderId="8" applyBorder="true" applyNumberFormat="true" numFmtId="167" fillId="22" applyFill="true">
      <alignment horizontal="center" vertical="center"/>
    </xf>
    <xf fontId="18121" applyFont="true" borderId="8" applyBorder="true" applyNumberFormat="true" numFmtId="167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" fillId="22" applyFill="true">
      <alignment horizontal="center" vertical="center"/>
    </xf>
    <xf fontId="18124" applyFont="true" borderId="8" applyBorder="true" applyNumberFormat="true" numFmtId="1" fillId="22" applyFill="true">
      <alignment horizontal="center" vertical="center"/>
    </xf>
    <xf fontId="18125" applyFont="true" borderId="8" applyBorder="true" applyNumberFormat="true" numFmtId="167" fillId="22" applyFill="true">
      <alignment horizontal="center" vertical="center"/>
    </xf>
    <xf fontId="18126" applyFont="true" borderId="8" applyBorder="true" applyNumberFormat="true" numFmtId="166" fillId="22" applyFill="true">
      <alignment horizontal="center" vertical="center"/>
    </xf>
    <xf fontId="18127" applyFont="true" borderId="8" applyBorder="true" applyNumberFormat="true" numFmtId="166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67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1" fillId="22" applyFill="true">
      <alignment horizontal="center" vertical="center"/>
    </xf>
    <xf fontId="18142" applyFont="true" borderId="8" applyBorder="true" applyNumberFormat="true" numFmtId="167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applyNumberFormat="true" numFmtId="2" fillId="22" applyFill="true">
      <alignment horizontal="center" vertical="center"/>
    </xf>
    <xf fontId="18176" applyFont="true" borderId="8" applyBorder="true" applyNumberFormat="true" numFmtId="2" fillId="22" applyFill="true">
      <alignment horizontal="center" vertical="center"/>
    </xf>
    <xf fontId="18177" applyFont="true" borderId="8" applyBorder="true" applyNumberFormat="true" numFmtId="165" fillId="19" applyFill="true">
      <alignment horizontal="left" vertical="center"/>
    </xf>
    <xf fontId="18178" applyFont="true" borderId="8" applyBorder="true" applyNumberFormat="true" numFmtId="165" fillId="22" applyFill="true">
      <alignment horizontal="center" vertical="center"/>
    </xf>
    <xf fontId="18179" applyFont="true" borderId="8" applyBorder="true" applyNumberFormat="true" numFmtId="166" fillId="22" applyFill="true">
      <alignment horizontal="center" vertical="center"/>
    </xf>
    <xf fontId="18180" applyFont="true" borderId="8" applyBorder="true" applyNumberFormat="true" numFmtId="1" fillId="22" applyFill="true">
      <alignment horizontal="center" vertical="center"/>
    </xf>
    <xf fontId="18181" applyFont="true" borderId="8" applyBorder="true" applyNumberFormat="true" numFmtId="1" fillId="22" applyFill="true">
      <alignment horizontal="center" vertical="center"/>
    </xf>
    <xf fontId="18182" applyFont="true" borderId="8" applyBorder="true" applyNumberFormat="true" numFmtId="1" fillId="22" applyFill="true">
      <alignment horizontal="center" vertical="center"/>
    </xf>
    <xf fontId="18183" applyFont="true" borderId="8" applyBorder="true" applyNumberFormat="true" numFmtId="1" fillId="22" applyFill="true">
      <alignment horizontal="center" vertical="center"/>
    </xf>
    <xf fontId="18184" applyFont="true" borderId="8" applyBorder="true" applyNumberFormat="true" numFmtId="1" fillId="22" applyFill="true">
      <alignment horizontal="center" vertical="center"/>
    </xf>
    <xf fontId="18185" applyFont="true" borderId="8" applyBorder="true" applyNumberFormat="true" numFmtId="1" fillId="22" applyFill="true">
      <alignment horizontal="center" vertical="center"/>
    </xf>
    <xf fontId="18186" applyFont="true" borderId="8" applyBorder="true" applyNumberFormat="true" numFmtId="1" fillId="22" applyFill="true">
      <alignment horizontal="center" vertical="center"/>
    </xf>
    <xf fontId="18187" applyFont="true" borderId="8" applyBorder="true" applyNumberFormat="true" numFmtId="165" fillId="22" applyFill="true">
      <alignment horizontal="center" vertical="center"/>
    </xf>
    <xf fontId="18188" applyFont="true" borderId="8" applyBorder="true" applyNumberFormat="true" numFmtId="165" fillId="22" applyFill="true">
      <alignment horizontal="center" vertical="center"/>
    </xf>
    <xf fontId="18189" applyFont="true" borderId="8" applyBorder="true" applyNumberFormat="true" numFmtId="1" fillId="22" applyFill="true">
      <alignment horizontal="center" vertical="center"/>
    </xf>
    <xf fontId="18190" applyFont="true" borderId="8" applyBorder="true" applyNumberFormat="true" numFmtId="1" fillId="22" applyFill="true">
      <alignment horizontal="center" vertical="center"/>
    </xf>
    <xf fontId="18191" applyFont="true" borderId="8" applyBorder="true" applyNumberFormat="true" numFmtId="1" fillId="22" applyFill="true">
      <alignment horizontal="center" vertical="center"/>
    </xf>
    <xf fontId="18192" applyFont="true" borderId="8" applyBorder="true" applyNumberFormat="true" numFmtId="167" fillId="22" applyFill="true">
      <alignment horizontal="center" vertical="center"/>
    </xf>
    <xf fontId="18193" applyFont="true" borderId="8" applyBorder="true" applyNumberFormat="true" numFmtId="1" fillId="22" applyFill="true">
      <alignment horizontal="center" vertical="center"/>
    </xf>
    <xf fontId="18194" applyFont="true" borderId="8" applyBorder="true" applyNumberFormat="true" numFmtId="167" fillId="22" applyFill="true">
      <alignment horizontal="center" vertical="center"/>
    </xf>
    <xf fontId="18195" applyFont="true" borderId="8" applyBorder="true" applyNumberFormat="true" numFmtId="1" fillId="22" applyFill="true">
      <alignment horizontal="center" vertical="center"/>
    </xf>
    <xf fontId="18196" applyFont="true" borderId="8" applyBorder="true" applyNumberFormat="true" numFmtId="167" fillId="22" applyFill="true">
      <alignment horizontal="center" vertical="center"/>
    </xf>
    <xf fontId="18197" applyFont="true" borderId="8" applyBorder="true" applyNumberFormat="true" numFmtId="1" fillId="22" applyFill="true">
      <alignment horizontal="center" vertical="center"/>
    </xf>
    <xf fontId="18198" applyFont="true" borderId="8" applyBorder="true" applyNumberFormat="true" numFmtId="167" fillId="22" applyFill="true">
      <alignment horizontal="center" vertical="center"/>
    </xf>
    <xf fontId="18199" applyFont="true" borderId="8" applyBorder="true" applyNumberFormat="true" numFmtId="167" fillId="22" applyFill="true">
      <alignment horizontal="center" vertical="center"/>
    </xf>
    <xf fontId="18200" applyFont="true" borderId="8" applyBorder="true" applyNumberFormat="true" numFmtId="1" fillId="22" applyFill="true">
      <alignment horizontal="center" vertical="center"/>
    </xf>
    <xf fontId="18201" applyFont="true" borderId="8" applyBorder="true" applyNumberFormat="true" numFmtId="1" fillId="22" applyFill="true">
      <alignment horizontal="center" vertical="center"/>
    </xf>
    <xf fontId="18202" applyFont="true" borderId="8" applyBorder="true" applyNumberFormat="true" numFmtId="1" fillId="22" applyFill="true">
      <alignment horizontal="center" vertical="center"/>
    </xf>
    <xf fontId="18203" applyFont="true" borderId="8" applyBorder="true" applyNumberFormat="true" numFmtId="167" fillId="22" applyFill="true">
      <alignment horizontal="center" vertical="center"/>
    </xf>
    <xf fontId="18204" applyFont="true" borderId="8" applyBorder="true" applyNumberFormat="true" numFmtId="166" fillId="22" applyFill="true">
      <alignment horizontal="center" vertical="center"/>
    </xf>
    <xf fontId="18205" applyFont="true" borderId="8" applyBorder="true" applyNumberFormat="true" numFmtId="166" fillId="22" applyFill="true">
      <alignment horizontal="center" vertical="center"/>
    </xf>
    <xf fontId="18206" applyFont="true" borderId="8" applyBorder="true" applyNumberFormat="true" numFmtId="1" fillId="22" applyFill="true">
      <alignment horizontal="center" vertical="center"/>
    </xf>
    <xf fontId="18207" applyFont="true" borderId="8" applyBorder="true" applyNumberFormat="true" numFmtId="1" fillId="22" applyFill="true">
      <alignment horizontal="center" vertical="center"/>
    </xf>
    <xf fontId="18208" applyFont="true" borderId="8" applyBorder="true" applyNumberFormat="true" numFmtId="1" fillId="22" applyFill="true">
      <alignment horizontal="center" vertical="center"/>
    </xf>
    <xf fontId="18209" applyFont="true" borderId="8" applyBorder="true" applyNumberFormat="true" numFmtId="167" fillId="22" applyFill="true">
      <alignment horizontal="center" vertical="center"/>
    </xf>
    <xf fontId="18210" applyFont="true" borderId="8" applyBorder="true" applyNumberFormat="true" numFmtId="1" fillId="22" applyFill="true">
      <alignment horizontal="center" vertical="center"/>
    </xf>
    <xf fontId="18211" applyFont="true" borderId="8" applyBorder="true" applyNumberFormat="true" numFmtId="167" fillId="22" applyFill="true">
      <alignment horizontal="center" vertical="center"/>
    </xf>
    <xf fontId="18212" applyFont="true" borderId="8" applyBorder="true" applyNumberFormat="true" numFmtId="1" fillId="22" applyFill="true">
      <alignment horizontal="center" vertical="center"/>
    </xf>
    <xf fontId="18213" applyFont="true" borderId="8" applyBorder="true" applyNumberFormat="true" numFmtId="1" fillId="22" applyFill="true">
      <alignment horizontal="center" vertical="center"/>
    </xf>
    <xf fontId="18214" applyFont="true" borderId="8" applyBorder="true" applyNumberFormat="true" numFmtId="1" fillId="22" applyFill="true">
      <alignment horizontal="center" vertical="center"/>
    </xf>
    <xf fontId="18215" applyFont="true" borderId="8" applyBorder="true" applyNumberFormat="true" numFmtId="1" fillId="22" applyFill="true">
      <alignment horizontal="center" vertical="center"/>
    </xf>
    <xf fontId="18216" applyFont="true" borderId="8" applyBorder="true" applyNumberFormat="true" numFmtId="167" fillId="22" applyFill="true">
      <alignment horizontal="center" vertical="center"/>
    </xf>
    <xf fontId="18217" applyFont="true" borderId="8" applyBorder="true" applyNumberFormat="true" numFmtId="1" fillId="22" applyFill="true">
      <alignment horizontal="center" vertical="center"/>
    </xf>
    <xf fontId="18218" applyFont="true" borderId="8" applyBorder="true" applyNumberFormat="true" numFmtId="167" fillId="22" applyFill="true">
      <alignment horizontal="center" vertical="center"/>
    </xf>
    <xf fontId="18219" applyFont="true" borderId="8" applyBorder="true" applyNumberFormat="true" numFmtId="1" fillId="22" applyFill="true">
      <alignment horizontal="center" vertical="center"/>
    </xf>
    <xf fontId="18220" applyFont="true" borderId="8" applyBorder="true" applyNumberFormat="true" numFmtId="167" fillId="22" applyFill="true">
      <alignment horizontal="center" vertical="center"/>
    </xf>
    <xf fontId="18221" applyFont="true" borderId="8" applyBorder="true" applyNumberFormat="true" numFmtId="2" fillId="22" applyFill="true">
      <alignment horizontal="center" vertical="center"/>
    </xf>
    <xf fontId="18222" applyFont="true" borderId="8" applyBorder="true" applyNumberFormat="true" numFmtId="2" fillId="22" applyFill="true">
      <alignment horizontal="center" vertical="center"/>
    </xf>
    <xf fontId="18223" applyFont="true" borderId="8" applyBorder="true" applyNumberFormat="true" numFmtId="2" fillId="22" applyFill="true">
      <alignment horizontal="center" vertical="center"/>
    </xf>
    <xf fontId="18224" applyFont="true" borderId="8" applyBorder="true" applyNumberFormat="true" numFmtId="2" fillId="22" applyFill="true">
      <alignment horizontal="center" vertical="center"/>
    </xf>
    <xf fontId="18225" applyFont="true" borderId="8" applyBorder="true" applyNumberFormat="true" numFmtId="2" fillId="22" applyFill="true">
      <alignment horizontal="center" vertical="center"/>
    </xf>
    <xf fontId="18226" applyFont="true" borderId="8" applyBorder="true" applyNumberFormat="true" numFmtId="2" fillId="22" applyFill="true">
      <alignment horizontal="center" vertical="center"/>
    </xf>
    <xf fontId="18227" applyFont="true" borderId="8" applyBorder="true" applyNumberFormat="true" numFmtId="2" fillId="22" applyFill="true">
      <alignment horizontal="center" vertical="center"/>
    </xf>
    <xf fontId="18228" applyFont="true" borderId="8" applyBorder="true" applyNumberFormat="true" numFmtId="2" fillId="22" applyFill="true">
      <alignment horizontal="center" vertical="center"/>
    </xf>
    <xf fontId="18229" applyFont="true" borderId="8" applyBorder="true" applyNumberFormat="true" numFmtId="2" fillId="22" applyFill="true">
      <alignment horizontal="center" vertical="center"/>
    </xf>
    <xf fontId="18230" applyFont="true" borderId="8" applyBorder="true" applyNumberFormat="true" numFmtId="2" fillId="22" applyFill="true">
      <alignment horizontal="center" vertical="center"/>
    </xf>
    <xf fontId="18231" applyFont="true" borderId="8" applyBorder="true" applyNumberFormat="true" numFmtId="2" fillId="22" applyFill="true">
      <alignment horizontal="center" vertical="center"/>
    </xf>
    <xf fontId="18232" applyFont="true" borderId="8" applyBorder="true" applyNumberFormat="true" numFmtId="2" fillId="22" applyFill="true">
      <alignment horizontal="center" vertical="center"/>
    </xf>
    <xf fontId="18233" applyFont="true" borderId="8" applyBorder="true" applyNumberFormat="true" numFmtId="2" fillId="22" applyFill="true">
      <alignment horizontal="center" vertical="center"/>
    </xf>
    <xf fontId="18234" applyFont="true" borderId="8" applyBorder="true" applyNumberFormat="true" numFmtId="2" fillId="22" applyFill="true">
      <alignment horizontal="center" vertical="center"/>
    </xf>
    <xf fontId="18235" applyFont="true" borderId="8" applyBorder="true" applyNumberFormat="true" numFmtId="2" fillId="22" applyFill="true">
      <alignment horizontal="center" vertical="center"/>
    </xf>
    <xf fontId="18236" applyFont="true" borderId="8" applyBorder="true" applyNumberFormat="true" numFmtId="2" fillId="22" applyFill="true">
      <alignment horizontal="center" vertical="center"/>
    </xf>
    <xf fontId="18237" applyFont="true" borderId="8" applyBorder="true" applyNumberFormat="true" numFmtId="2" fillId="22" applyFill="true">
      <alignment horizontal="center" vertical="center"/>
    </xf>
    <xf fontId="18238" applyFont="true" borderId="8" applyBorder="true" applyNumberFormat="true" numFmtId="2" fillId="22" applyFill="true">
      <alignment horizontal="center" vertical="center"/>
    </xf>
    <xf fontId="18239" applyFont="true" borderId="8" applyBorder="true" applyNumberFormat="true" numFmtId="2" fillId="22" applyFill="true">
      <alignment horizontal="center" vertical="center"/>
    </xf>
    <xf fontId="18240" applyFont="true" borderId="8" applyBorder="true" applyNumberFormat="true" numFmtId="2" fillId="22" applyFill="true">
      <alignment horizontal="center" vertical="center"/>
    </xf>
    <xf fontId="18241" applyFont="true" borderId="8" applyBorder="true" applyNumberFormat="true" numFmtId="2" fillId="22" applyFill="true">
      <alignment horizontal="center" vertical="center"/>
    </xf>
    <xf fontId="18242" applyFont="true" borderId="8" applyBorder="true" applyNumberFormat="true" numFmtId="2" fillId="22" applyFill="true">
      <alignment horizontal="center" vertical="center"/>
    </xf>
    <xf fontId="18243" applyFont="true" borderId="8" applyBorder="true" applyNumberFormat="true" numFmtId="2" fillId="22" applyFill="true">
      <alignment horizontal="center" vertical="center"/>
    </xf>
    <xf fontId="18244" applyFont="true" borderId="8" applyBorder="true" applyNumberFormat="true" numFmtId="2" fillId="22" applyFill="true">
      <alignment horizontal="center" vertical="center"/>
    </xf>
    <xf fontId="18245" applyFont="true" borderId="8" applyBorder="true" applyNumberFormat="true" numFmtId="2" fillId="22" applyFill="true">
      <alignment horizontal="center" vertical="center"/>
    </xf>
    <xf fontId="18246" applyFont="true" borderId="8" applyBorder="true" applyNumberFormat="true" numFmtId="2" fillId="22" applyFill="true">
      <alignment horizontal="center" vertical="center"/>
    </xf>
    <xf fontId="18247" applyFont="true" borderId="8" applyBorder="true" applyNumberFormat="true" numFmtId="2" fillId="22" applyFill="true">
      <alignment horizontal="center" vertical="center"/>
    </xf>
    <xf fontId="18248" applyFont="true" borderId="8" applyBorder="true" applyNumberFormat="true" numFmtId="2" fillId="22" applyFill="true">
      <alignment horizontal="center" vertical="center"/>
    </xf>
    <xf fontId="18249" applyFont="true" borderId="8" applyBorder="true" applyNumberFormat="true" numFmtId="2" fillId="22" applyFill="true">
      <alignment horizontal="center" vertical="center"/>
    </xf>
    <xf fontId="18250" applyFont="true" borderId="8" applyBorder="true" applyNumberFormat="true" numFmtId="2" fillId="22" applyFill="true">
      <alignment horizontal="center" vertical="center"/>
    </xf>
    <xf fontId="18251" applyFont="true" borderId="8" applyBorder="true" applyNumberFormat="true" numFmtId="2" fillId="22" applyFill="true">
      <alignment horizontal="center" vertical="center"/>
    </xf>
    <xf fontId="18252" applyFont="true" borderId="8" applyBorder="true" applyNumberFormat="true" numFmtId="2" fillId="22" applyFill="true">
      <alignment horizontal="center" vertical="center"/>
    </xf>
    <xf fontId="18253" applyFont="true" borderId="8" applyBorder="true" applyNumberFormat="true" numFmtId="2" fillId="22" applyFill="true">
      <alignment horizontal="center" vertical="center"/>
    </xf>
    <xf fontId="18254" applyFont="true" borderId="8" applyBorder="true" applyNumberFormat="true" numFmtId="2" fillId="22" applyFill="true">
      <alignment horizontal="center" vertical="center"/>
    </xf>
    <xf fontId="18255" applyFont="true" borderId="8" applyBorder="true" applyNumberFormat="true" numFmtId="165" fillId="19" applyFill="true">
      <alignment horizontal="left" vertical="center"/>
    </xf>
    <xf fontId="18256" applyFont="true" borderId="8" applyBorder="true" applyNumberFormat="true" numFmtId="165" fillId="22" applyFill="true">
      <alignment horizontal="center" vertical="center"/>
    </xf>
    <xf fontId="18257" applyFont="true" borderId="8" applyBorder="true" applyNumberFormat="true" numFmtId="166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" fillId="22" applyFill="true">
      <alignment horizontal="center" vertical="center"/>
    </xf>
    <xf fontId="18264" applyFont="true" borderId="8" applyBorder="true" applyNumberFormat="true" numFmtId="1" fillId="22" applyFill="true">
      <alignment horizontal="center" vertical="center"/>
    </xf>
    <xf fontId="18265" applyFont="true" borderId="8" applyBorder="true" applyNumberFormat="true" numFmtId="165" fillId="22" applyFill="true">
      <alignment horizontal="center" vertical="center"/>
    </xf>
    <xf fontId="18266" applyFont="true" borderId="8" applyBorder="true" applyNumberFormat="true" numFmtId="165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" fillId="22" applyFill="true">
      <alignment horizontal="center" vertical="center"/>
    </xf>
    <xf fontId="18276" applyFont="true" borderId="8" applyBorder="true" applyNumberFormat="true" numFmtId="167" fillId="22" applyFill="true">
      <alignment horizontal="center" vertical="center"/>
    </xf>
    <xf fontId="18277" applyFont="true" borderId="8" applyBorder="true" applyNumberFormat="true" numFmtId="167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" fillId="22" applyFill="true">
      <alignment horizontal="center" vertical="center"/>
    </xf>
    <xf fontId="18280" applyFont="true" borderId="8" applyBorder="true" applyNumberFormat="true" numFmtId="1" fillId="22" applyFill="true">
      <alignment horizontal="center" vertical="center"/>
    </xf>
    <xf fontId="18281" applyFont="true" borderId="8" applyBorder="true" applyNumberFormat="true" numFmtId="167" fillId="22" applyFill="true">
      <alignment horizontal="center" vertical="center"/>
    </xf>
    <xf fontId="18282" applyFont="true" borderId="8" applyBorder="true" applyNumberFormat="true" numFmtId="166" fillId="22" applyFill="true">
      <alignment horizontal="center" vertical="center"/>
    </xf>
    <xf fontId="18283" applyFont="true" borderId="8" applyBorder="true" applyNumberFormat="true" numFmtId="166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67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1" fillId="22" applyFill="true">
      <alignment horizontal="center" vertical="center"/>
    </xf>
    <xf fontId="18298" applyFont="true" borderId="8" applyBorder="true" applyNumberFormat="true" numFmtId="167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2" fillId="22" applyFill="true">
      <alignment horizontal="center" vertical="center"/>
    </xf>
    <xf fontId="18332" applyFont="true" borderId="8" applyBorder="true" applyNumberFormat="true" numFmtId="2" fillId="22" applyFill="true">
      <alignment horizontal="center" vertical="center"/>
    </xf>
    <xf fontId="18333" applyFont="true" borderId="8" applyBorder="true" applyNumberFormat="true" numFmtId="165" fillId="19" applyFill="true">
      <alignment horizontal="left" vertical="center"/>
    </xf>
    <xf fontId="18334" applyFont="true" borderId="8" applyBorder="true" applyNumberFormat="true" numFmtId="165" fillId="22" applyFill="true">
      <alignment horizontal="center" vertical="center"/>
    </xf>
    <xf fontId="18335" applyFont="true" borderId="8" applyBorder="true" applyNumberFormat="true" numFmtId="166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" fillId="22" applyFill="true">
      <alignment horizontal="center" vertical="center"/>
    </xf>
    <xf fontId="18342" applyFont="true" borderId="8" applyBorder="true" applyNumberFormat="true" numFmtId="1" fillId="22" applyFill="true">
      <alignment horizontal="center" vertical="center"/>
    </xf>
    <xf fontId="18343" applyFont="true" borderId="8" applyBorder="true" applyNumberFormat="true" numFmtId="165" fillId="22" applyFill="true">
      <alignment horizontal="center" vertical="center"/>
    </xf>
    <xf fontId="18344" applyFont="true" borderId="8" applyBorder="true" applyNumberFormat="true" numFmtId="165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" fillId="22" applyFill="true">
      <alignment horizontal="center" vertical="center"/>
    </xf>
    <xf fontId="18354" applyFont="true" borderId="8" applyBorder="true" applyNumberFormat="true" numFmtId="167" fillId="22" applyFill="true">
      <alignment horizontal="center" vertical="center"/>
    </xf>
    <xf fontId="18355" applyFont="true" borderId="8" applyBorder="true" applyNumberFormat="true" numFmtId="167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" fillId="22" applyFill="true">
      <alignment horizontal="center" vertical="center"/>
    </xf>
    <xf fontId="18358" applyFont="true" borderId="8" applyBorder="true" applyNumberFormat="true" numFmtId="1" fillId="22" applyFill="true">
      <alignment horizontal="center" vertical="center"/>
    </xf>
    <xf fontId="18359" applyFont="true" borderId="8" applyBorder="true" applyNumberFormat="true" numFmtId="167" fillId="22" applyFill="true">
      <alignment horizontal="center" vertical="center"/>
    </xf>
    <xf fontId="18360" applyFont="true" borderId="8" applyBorder="true" applyNumberFormat="true" numFmtId="166" fillId="22" applyFill="true">
      <alignment horizontal="center" vertical="center"/>
    </xf>
    <xf fontId="18361" applyFont="true" borderId="8" applyBorder="true" applyNumberFormat="true" numFmtId="166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67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1" fillId="22" applyFill="true">
      <alignment horizontal="center" vertical="center"/>
    </xf>
    <xf fontId="18376" applyFont="true" borderId="8" applyBorder="true" applyNumberFormat="true" numFmtId="167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applyNumberFormat="true" numFmtId="2" fillId="22" applyFill="true">
      <alignment horizontal="center" vertical="center"/>
    </xf>
    <xf fontId="18410" applyFont="true" borderId="8" applyBorder="true" applyNumberFormat="true" numFmtId="2" fillId="22" applyFill="true">
      <alignment horizontal="center" vertical="center"/>
    </xf>
    <xf fontId="18411" applyFont="true" borderId="8" applyBorder="true" applyNumberFormat="true" numFmtId="165" fillId="19" applyFill="true">
      <alignment horizontal="left" vertical="center"/>
    </xf>
    <xf fontId="18412" applyFont="true" borderId="8" applyBorder="true" applyNumberFormat="true" numFmtId="165" fillId="22" applyFill="true">
      <alignment horizontal="center" vertical="center"/>
    </xf>
    <xf fontId="18413" applyFont="true" borderId="8" applyBorder="true" applyNumberFormat="true" numFmtId="166" fillId="22" applyFill="true">
      <alignment horizontal="center" vertical="center"/>
    </xf>
    <xf fontId="18414" applyFont="true" borderId="8" applyBorder="true" applyNumberFormat="true" numFmtId="1" fillId="22" applyFill="true">
      <alignment horizontal="center" vertical="center"/>
    </xf>
    <xf fontId="18415" applyFont="true" borderId="8" applyBorder="true" applyNumberFormat="true" numFmtId="1" fillId="22" applyFill="true">
      <alignment horizontal="center" vertical="center"/>
    </xf>
    <xf fontId="18416" applyFont="true" borderId="8" applyBorder="true" applyNumberFormat="true" numFmtId="1" fillId="22" applyFill="true">
      <alignment horizontal="center" vertical="center"/>
    </xf>
    <xf fontId="18417" applyFont="true" borderId="8" applyBorder="true" applyNumberFormat="true" numFmtId="1" fillId="22" applyFill="true">
      <alignment horizontal="center" vertical="center"/>
    </xf>
    <xf fontId="18418" applyFont="true" borderId="8" applyBorder="true" applyNumberFormat="true" numFmtId="1" fillId="22" applyFill="true">
      <alignment horizontal="center" vertical="center"/>
    </xf>
    <xf fontId="18419" applyFont="true" borderId="8" applyBorder="true" applyNumberFormat="true" numFmtId="1" fillId="22" applyFill="true">
      <alignment horizontal="center" vertical="center"/>
    </xf>
    <xf fontId="18420" applyFont="true" borderId="8" applyBorder="true" applyNumberFormat="true" numFmtId="1" fillId="22" applyFill="true">
      <alignment horizontal="center" vertical="center"/>
    </xf>
    <xf fontId="18421" applyFont="true" borderId="8" applyBorder="true" applyNumberFormat="true" numFmtId="165" fillId="22" applyFill="true">
      <alignment horizontal="center" vertical="center"/>
    </xf>
    <xf fontId="18422" applyFont="true" borderId="8" applyBorder="true" applyNumberFormat="true" numFmtId="165" fillId="22" applyFill="true">
      <alignment horizontal="center" vertical="center"/>
    </xf>
    <xf fontId="18423" applyFont="true" borderId="8" applyBorder="true" applyNumberFormat="true" numFmtId="1" fillId="22" applyFill="true">
      <alignment horizontal="center" vertical="center"/>
    </xf>
    <xf fontId="18424" applyFont="true" borderId="8" applyBorder="true" applyNumberFormat="true" numFmtId="1" fillId="22" applyFill="true">
      <alignment horizontal="center" vertical="center"/>
    </xf>
    <xf fontId="18425" applyFont="true" borderId="8" applyBorder="true" applyNumberFormat="true" numFmtId="1" fillId="22" applyFill="true">
      <alignment horizontal="center" vertical="center"/>
    </xf>
    <xf fontId="18426" applyFont="true" borderId="8" applyBorder="true" applyNumberFormat="true" numFmtId="167" fillId="22" applyFill="true">
      <alignment horizontal="center" vertical="center"/>
    </xf>
    <xf fontId="18427" applyFont="true" borderId="8" applyBorder="true" applyNumberFormat="true" numFmtId="1" fillId="22" applyFill="true">
      <alignment horizontal="center" vertical="center"/>
    </xf>
    <xf fontId="18428" applyFont="true" borderId="8" applyBorder="true" applyNumberFormat="true" numFmtId="167" fillId="22" applyFill="true">
      <alignment horizontal="center" vertical="center"/>
    </xf>
    <xf fontId="18429" applyFont="true" borderId="8" applyBorder="true" applyNumberFormat="true" numFmtId="1" fillId="22" applyFill="true">
      <alignment horizontal="center" vertical="center"/>
    </xf>
    <xf fontId="18430" applyFont="true" borderId="8" applyBorder="true" applyNumberFormat="true" numFmtId="167" fillId="22" applyFill="true">
      <alignment horizontal="center" vertical="center"/>
    </xf>
    <xf fontId="18431" applyFont="true" borderId="8" applyBorder="true" applyNumberFormat="true" numFmtId="1" fillId="22" applyFill="true">
      <alignment horizontal="center" vertical="center"/>
    </xf>
    <xf fontId="18432" applyFont="true" borderId="8" applyBorder="true" applyNumberFormat="true" numFmtId="167" fillId="22" applyFill="true">
      <alignment horizontal="center" vertical="center"/>
    </xf>
    <xf fontId="18433" applyFont="true" borderId="8" applyBorder="true" applyNumberFormat="true" numFmtId="167" fillId="22" applyFill="true">
      <alignment horizontal="center" vertical="center"/>
    </xf>
    <xf fontId="18434" applyFont="true" borderId="8" applyBorder="true" applyNumberFormat="true" numFmtId="1" fillId="22" applyFill="true">
      <alignment horizontal="center" vertical="center"/>
    </xf>
    <xf fontId="18435" applyFont="true" borderId="8" applyBorder="true" applyNumberFormat="true" numFmtId="1" fillId="22" applyFill="true">
      <alignment horizontal="center" vertical="center"/>
    </xf>
    <xf fontId="18436" applyFont="true" borderId="8" applyBorder="true" applyNumberFormat="true" numFmtId="1" fillId="22" applyFill="true">
      <alignment horizontal="center" vertical="center"/>
    </xf>
    <xf fontId="18437" applyFont="true" borderId="8" applyBorder="true" applyNumberFormat="true" numFmtId="167" fillId="22" applyFill="true">
      <alignment horizontal="center" vertical="center"/>
    </xf>
    <xf fontId="18438" applyFont="true" borderId="8" applyBorder="true" applyNumberFormat="true" numFmtId="166" fillId="22" applyFill="true">
      <alignment horizontal="center" vertical="center"/>
    </xf>
    <xf fontId="18439" applyFont="true" borderId="8" applyBorder="true" applyNumberFormat="true" numFmtId="166" fillId="22" applyFill="true">
      <alignment horizontal="center" vertical="center"/>
    </xf>
    <xf fontId="18440" applyFont="true" borderId="8" applyBorder="true" applyNumberFormat="true" numFmtId="1" fillId="22" applyFill="true">
      <alignment horizontal="center" vertical="center"/>
    </xf>
    <xf fontId="18441" applyFont="true" borderId="8" applyBorder="true" applyNumberFormat="true" numFmtId="1" fillId="22" applyFill="true">
      <alignment horizontal="center" vertical="center"/>
    </xf>
    <xf fontId="18442" applyFont="true" borderId="8" applyBorder="true" applyNumberFormat="true" numFmtId="1" fillId="22" applyFill="true">
      <alignment horizontal="center" vertical="center"/>
    </xf>
    <xf fontId="18443" applyFont="true" borderId="8" applyBorder="true" applyNumberFormat="true" numFmtId="167" fillId="22" applyFill="true">
      <alignment horizontal="center" vertical="center"/>
    </xf>
    <xf fontId="18444" applyFont="true" borderId="8" applyBorder="true" applyNumberFormat="true" numFmtId="1" fillId="22" applyFill="true">
      <alignment horizontal="center" vertical="center"/>
    </xf>
    <xf fontId="18445" applyFont="true" borderId="8" applyBorder="true" applyNumberFormat="true" numFmtId="167" fillId="22" applyFill="true">
      <alignment horizontal="center" vertical="center"/>
    </xf>
    <xf fontId="18446" applyFont="true" borderId="8" applyBorder="true" applyNumberFormat="true" numFmtId="1" fillId="22" applyFill="true">
      <alignment horizontal="center" vertical="center"/>
    </xf>
    <xf fontId="18447" applyFont="true" borderId="8" applyBorder="true" applyNumberFormat="true" numFmtId="1" fillId="22" applyFill="true">
      <alignment horizontal="center" vertical="center"/>
    </xf>
    <xf fontId="18448" applyFont="true" borderId="8" applyBorder="true" applyNumberFormat="true" numFmtId="1" fillId="22" applyFill="true">
      <alignment horizontal="center" vertical="center"/>
    </xf>
    <xf fontId="18449" applyFont="true" borderId="8" applyBorder="true" applyNumberFormat="true" numFmtId="1" fillId="22" applyFill="true">
      <alignment horizontal="center" vertical="center"/>
    </xf>
    <xf fontId="18450" applyFont="true" borderId="8" applyBorder="true" applyNumberFormat="true" numFmtId="167" fillId="22" applyFill="true">
      <alignment horizontal="center" vertical="center"/>
    </xf>
    <xf fontId="18451" applyFont="true" borderId="8" applyBorder="true" applyNumberFormat="true" numFmtId="1" fillId="22" applyFill="true">
      <alignment horizontal="center" vertical="center"/>
    </xf>
    <xf fontId="18452" applyFont="true" borderId="8" applyBorder="true" applyNumberFormat="true" numFmtId="167" fillId="22" applyFill="true">
      <alignment horizontal="center" vertical="center"/>
    </xf>
    <xf fontId="18453" applyFont="true" borderId="8" applyBorder="true" applyNumberFormat="true" numFmtId="1" fillId="22" applyFill="true">
      <alignment horizontal="center" vertical="center"/>
    </xf>
    <xf fontId="18454" applyFont="true" borderId="8" applyBorder="true" applyNumberFormat="true" numFmtId="167" fillId="22" applyFill="true">
      <alignment horizontal="center" vertical="center"/>
    </xf>
    <xf fontId="18455" applyFont="true" borderId="8" applyBorder="true" applyNumberFormat="true" numFmtId="2" fillId="22" applyFill="true">
      <alignment horizontal="center" vertical="center"/>
    </xf>
    <xf fontId="18456" applyFont="true" borderId="8" applyBorder="true" applyNumberFormat="true" numFmtId="2" fillId="22" applyFill="true">
      <alignment horizontal="center" vertical="center"/>
    </xf>
    <xf fontId="18457" applyFont="true" borderId="8" applyBorder="true" applyNumberFormat="true" numFmtId="2" fillId="22" applyFill="true">
      <alignment horizontal="center" vertical="center"/>
    </xf>
    <xf fontId="18458" applyFont="true" borderId="8" applyBorder="true" applyNumberFormat="true" numFmtId="2" fillId="22" applyFill="true">
      <alignment horizontal="center" vertical="center"/>
    </xf>
    <xf fontId="18459" applyFont="true" borderId="8" applyBorder="true" applyNumberFormat="true" numFmtId="2" fillId="22" applyFill="true">
      <alignment horizontal="center" vertical="center"/>
    </xf>
    <xf fontId="18460" applyFont="true" borderId="8" applyBorder="true" applyNumberFormat="true" numFmtId="2" fillId="22" applyFill="true">
      <alignment horizontal="center" vertical="center"/>
    </xf>
    <xf fontId="18461" applyFont="true" borderId="8" applyBorder="true" applyNumberFormat="true" numFmtId="2" fillId="22" applyFill="true">
      <alignment horizontal="center" vertical="center"/>
    </xf>
    <xf fontId="18462" applyFont="true" borderId="8" applyBorder="true" applyNumberFormat="true" numFmtId="2" fillId="22" applyFill="true">
      <alignment horizontal="center" vertical="center"/>
    </xf>
    <xf fontId="18463" applyFont="true" borderId="8" applyBorder="true" applyNumberFormat="true" numFmtId="2" fillId="22" applyFill="true">
      <alignment horizontal="center" vertical="center"/>
    </xf>
    <xf fontId="18464" applyFont="true" borderId="8" applyBorder="true" applyNumberFormat="true" numFmtId="2" fillId="22" applyFill="true">
      <alignment horizontal="center" vertical="center"/>
    </xf>
    <xf fontId="18465" applyFont="true" borderId="8" applyBorder="true" applyNumberFormat="true" numFmtId="2" fillId="22" applyFill="true">
      <alignment horizontal="center" vertical="center"/>
    </xf>
    <xf fontId="18466" applyFont="true" borderId="8" applyBorder="true" applyNumberFormat="true" numFmtId="2" fillId="22" applyFill="true">
      <alignment horizontal="center" vertical="center"/>
    </xf>
    <xf fontId="18467" applyFont="true" borderId="8" applyBorder="true" applyNumberFormat="true" numFmtId="2" fillId="22" applyFill="true">
      <alignment horizontal="center" vertical="center"/>
    </xf>
    <xf fontId="18468" applyFont="true" borderId="8" applyBorder="true" applyNumberFormat="true" numFmtId="2" fillId="22" applyFill="true">
      <alignment horizontal="center" vertical="center"/>
    </xf>
    <xf fontId="18469" applyFont="true" borderId="8" applyBorder="true" applyNumberFormat="true" numFmtId="2" fillId="22" applyFill="true">
      <alignment horizontal="center" vertical="center"/>
    </xf>
    <xf fontId="18470" applyFont="true" borderId="8" applyBorder="true" applyNumberFormat="true" numFmtId="2" fillId="22" applyFill="true">
      <alignment horizontal="center" vertical="center"/>
    </xf>
    <xf fontId="18471" applyFont="true" borderId="8" applyBorder="true" applyNumberFormat="true" numFmtId="2" fillId="22" applyFill="true">
      <alignment horizontal="center" vertical="center"/>
    </xf>
    <xf fontId="18472" applyFont="true" borderId="8" applyBorder="true" applyNumberFormat="true" numFmtId="2" fillId="22" applyFill="true">
      <alignment horizontal="center" vertical="center"/>
    </xf>
    <xf fontId="18473" applyFont="true" borderId="8" applyBorder="true" applyNumberFormat="true" numFmtId="2" fillId="22" applyFill="true">
      <alignment horizontal="center" vertical="center"/>
    </xf>
    <xf fontId="18474" applyFont="true" borderId="8" applyBorder="true" applyNumberFormat="true" numFmtId="2" fillId="22" applyFill="true">
      <alignment horizontal="center" vertical="center"/>
    </xf>
    <xf fontId="18475" applyFont="true" borderId="8" applyBorder="true" applyNumberFormat="true" numFmtId="2" fillId="22" applyFill="true">
      <alignment horizontal="center" vertical="center"/>
    </xf>
    <xf fontId="18476" applyFont="true" borderId="8" applyBorder="true" applyNumberFormat="true" numFmtId="2" fillId="22" applyFill="true">
      <alignment horizontal="center" vertical="center"/>
    </xf>
    <xf fontId="18477" applyFont="true" borderId="8" applyBorder="true" applyNumberFormat="true" numFmtId="2" fillId="22" applyFill="true">
      <alignment horizontal="center" vertical="center"/>
    </xf>
    <xf fontId="18478" applyFont="true" borderId="8" applyBorder="true" applyNumberFormat="true" numFmtId="2" fillId="22" applyFill="true">
      <alignment horizontal="center" vertical="center"/>
    </xf>
    <xf fontId="18479" applyFont="true" borderId="8" applyBorder="true" applyNumberFormat="true" numFmtId="2" fillId="22" applyFill="true">
      <alignment horizontal="center" vertical="center"/>
    </xf>
    <xf fontId="18480" applyFont="true" borderId="8" applyBorder="true" applyNumberFormat="true" numFmtId="2" fillId="22" applyFill="true">
      <alignment horizontal="center" vertical="center"/>
    </xf>
    <xf fontId="18481" applyFont="true" borderId="8" applyBorder="true" applyNumberFormat="true" numFmtId="2" fillId="22" applyFill="true">
      <alignment horizontal="center" vertical="center"/>
    </xf>
    <xf fontId="18482" applyFont="true" borderId="8" applyBorder="true" applyNumberFormat="true" numFmtId="2" fillId="22" applyFill="true">
      <alignment horizontal="center" vertical="center"/>
    </xf>
    <xf fontId="18483" applyFont="true" borderId="8" applyBorder="true" applyNumberFormat="true" numFmtId="2" fillId="22" applyFill="true">
      <alignment horizontal="center" vertical="center"/>
    </xf>
    <xf fontId="18484" applyFont="true" borderId="8" applyBorder="true" applyNumberFormat="true" numFmtId="2" fillId="22" applyFill="true">
      <alignment horizontal="center" vertical="center"/>
    </xf>
    <xf fontId="18485" applyFont="true" borderId="8" applyBorder="true" applyNumberFormat="true" numFmtId="2" fillId="22" applyFill="true">
      <alignment horizontal="center" vertical="center"/>
    </xf>
    <xf fontId="18486" applyFont="true" borderId="8" applyBorder="true" applyNumberFormat="true" numFmtId="2" fillId="22" applyFill="true">
      <alignment horizontal="center" vertical="center"/>
    </xf>
    <xf fontId="18487" applyFont="true" borderId="8" applyBorder="true" applyNumberFormat="true" numFmtId="2" fillId="22" applyFill="true">
      <alignment horizontal="center" vertical="center"/>
    </xf>
    <xf fontId="18488" applyFont="true" borderId="8" applyBorder="true" applyNumberFormat="true" numFmtId="2" fillId="22" applyFill="true">
      <alignment horizontal="center" vertical="center"/>
    </xf>
    <xf fontId="18489" applyFont="true" borderId="8" applyBorder="true" applyNumberFormat="true" numFmtId="165" fillId="19" applyFill="true">
      <alignment horizontal="left" vertical="center"/>
    </xf>
    <xf fontId="18490" applyFont="true" borderId="8" applyBorder="true" applyNumberFormat="true" numFmtId="165" fillId="22" applyFill="true">
      <alignment horizontal="center" vertical="center"/>
    </xf>
    <xf fontId="18491" applyFont="true" borderId="8" applyBorder="true" applyNumberFormat="true" numFmtId="166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" fillId="22" applyFill="true">
      <alignment horizontal="center" vertical="center"/>
    </xf>
    <xf fontId="18498" applyFont="true" borderId="8" applyBorder="true" applyNumberFormat="true" numFmtId="1" fillId="22" applyFill="true">
      <alignment horizontal="center" vertical="center"/>
    </xf>
    <xf fontId="18499" applyFont="true" borderId="8" applyBorder="true" applyNumberFormat="true" numFmtId="165" fillId="22" applyFill="true">
      <alignment horizontal="center" vertical="center"/>
    </xf>
    <xf fontId="18500" applyFont="true" borderId="8" applyBorder="true" applyNumberFormat="true" numFmtId="165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" fillId="22" applyFill="true">
      <alignment horizontal="center" vertical="center"/>
    </xf>
    <xf fontId="18510" applyFont="true" borderId="8" applyBorder="true" applyNumberFormat="true" numFmtId="167" fillId="22" applyFill="true">
      <alignment horizontal="center" vertical="center"/>
    </xf>
    <xf fontId="18511" applyFont="true" borderId="8" applyBorder="true" applyNumberFormat="true" numFmtId="167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" fillId="22" applyFill="true">
      <alignment horizontal="center" vertical="center"/>
    </xf>
    <xf fontId="18514" applyFont="true" borderId="8" applyBorder="true" applyNumberFormat="true" numFmtId="1" fillId="22" applyFill="true">
      <alignment horizontal="center" vertical="center"/>
    </xf>
    <xf fontId="18515" applyFont="true" borderId="8" applyBorder="true" applyNumberFormat="true" numFmtId="167" fillId="22" applyFill="true">
      <alignment horizontal="center" vertical="center"/>
    </xf>
    <xf fontId="18516" applyFont="true" borderId="8" applyBorder="true" applyNumberFormat="true" numFmtId="166" fillId="22" applyFill="true">
      <alignment horizontal="center" vertical="center"/>
    </xf>
    <xf fontId="18517" applyFont="true" borderId="8" applyBorder="true" applyNumberFormat="true" numFmtId="166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67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1" fillId="22" applyFill="true">
      <alignment horizontal="center" vertical="center"/>
    </xf>
    <xf fontId="18532" applyFont="true" borderId="8" applyBorder="true" applyNumberFormat="true" numFmtId="167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2" fillId="22" applyFill="true">
      <alignment horizontal="center" vertical="center"/>
    </xf>
    <xf fontId="18566" applyFont="true" borderId="8" applyBorder="true" applyNumberFormat="true" numFmtId="2" fillId="22" applyFill="true">
      <alignment horizontal="center" vertical="center"/>
    </xf>
    <xf fontId="18567" applyFont="true" borderId="8" applyBorder="true" applyNumberFormat="true" numFmtId="165" fillId="19" applyFill="true">
      <alignment horizontal="left" vertical="center"/>
    </xf>
    <xf fontId="18568" applyFont="true" borderId="8" applyBorder="true" applyNumberFormat="true" numFmtId="165" fillId="22" applyFill="true">
      <alignment horizontal="center" vertical="center"/>
    </xf>
    <xf fontId="18569" applyFont="true" borderId="8" applyBorder="true" applyNumberFormat="true" numFmtId="166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" fillId="22" applyFill="true">
      <alignment horizontal="center" vertical="center"/>
    </xf>
    <xf fontId="18576" applyFont="true" borderId="8" applyBorder="true" applyNumberFormat="true" numFmtId="1" fillId="22" applyFill="true">
      <alignment horizontal="center" vertical="center"/>
    </xf>
    <xf fontId="18577" applyFont="true" borderId="8" applyBorder="true" applyNumberFormat="true" numFmtId="165" fillId="22" applyFill="true">
      <alignment horizontal="center" vertical="center"/>
    </xf>
    <xf fontId="18578" applyFont="true" borderId="8" applyBorder="true" applyNumberFormat="true" numFmtId="165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" fillId="22" applyFill="true">
      <alignment horizontal="center" vertical="center"/>
    </xf>
    <xf fontId="18588" applyFont="true" borderId="8" applyBorder="true" applyNumberFormat="true" numFmtId="167" fillId="22" applyFill="true">
      <alignment horizontal="center" vertical="center"/>
    </xf>
    <xf fontId="18589" applyFont="true" borderId="8" applyBorder="true" applyNumberFormat="true" numFmtId="167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" fillId="22" applyFill="true">
      <alignment horizontal="center" vertical="center"/>
    </xf>
    <xf fontId="18592" applyFont="true" borderId="8" applyBorder="true" applyNumberFormat="true" numFmtId="1" fillId="22" applyFill="true">
      <alignment horizontal="center" vertical="center"/>
    </xf>
    <xf fontId="18593" applyFont="true" borderId="8" applyBorder="true" applyNumberFormat="true" numFmtId="167" fillId="22" applyFill="true">
      <alignment horizontal="center" vertical="center"/>
    </xf>
    <xf fontId="18594" applyFont="true" borderId="8" applyBorder="true" applyNumberFormat="true" numFmtId="166" fillId="22" applyFill="true">
      <alignment horizontal="center" vertical="center"/>
    </xf>
    <xf fontId="18595" applyFont="true" borderId="8" applyBorder="true" applyNumberFormat="true" numFmtId="166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67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1" fillId="22" applyFill="true">
      <alignment horizontal="center" vertical="center"/>
    </xf>
    <xf fontId="18610" applyFont="true" borderId="8" applyBorder="true" applyNumberFormat="true" numFmtId="167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2" fillId="22" applyFill="true">
      <alignment horizontal="center" vertical="center"/>
    </xf>
    <xf fontId="18644" applyFont="true" borderId="8" applyBorder="true" applyNumberFormat="true" numFmtId="2" fillId="22" applyFill="true">
      <alignment horizontal="center" vertical="center"/>
    </xf>
    <xf fontId="18645" applyFont="true" borderId="8" applyBorder="true" applyNumberFormat="true" numFmtId="165" fillId="19" applyFill="true">
      <alignment horizontal="left" vertical="center"/>
    </xf>
    <xf fontId="18646" applyFont="true" borderId="8" applyBorder="true" applyNumberFormat="true" numFmtId="165" fillId="22" applyFill="true">
      <alignment horizontal="center" vertical="center"/>
    </xf>
    <xf fontId="18647" applyFont="true" borderId="8" applyBorder="true" applyNumberFormat="true" numFmtId="166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" fillId="22" applyFill="true">
      <alignment horizontal="center" vertical="center"/>
    </xf>
    <xf fontId="18654" applyFont="true" borderId="8" applyBorder="true" applyNumberFormat="true" numFmtId="1" fillId="22" applyFill="true">
      <alignment horizontal="center" vertical="center"/>
    </xf>
    <xf fontId="18655" applyFont="true" borderId="8" applyBorder="true" applyNumberFormat="true" numFmtId="165" fillId="22" applyFill="true">
      <alignment horizontal="center" vertical="center"/>
    </xf>
    <xf fontId="18656" applyFont="true" borderId="8" applyBorder="true" applyNumberFormat="true" numFmtId="165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" fillId="22" applyFill="true">
      <alignment horizontal="center" vertical="center"/>
    </xf>
    <xf fontId="18666" applyFont="true" borderId="8" applyBorder="true" applyNumberFormat="true" numFmtId="167" fillId="22" applyFill="true">
      <alignment horizontal="center" vertical="center"/>
    </xf>
    <xf fontId="18667" applyFont="true" borderId="8" applyBorder="true" applyNumberFormat="true" numFmtId="167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" fillId="22" applyFill="true">
      <alignment horizontal="center" vertical="center"/>
    </xf>
    <xf fontId="18670" applyFont="true" borderId="8" applyBorder="true" applyNumberFormat="true" numFmtId="1" fillId="22" applyFill="true">
      <alignment horizontal="center" vertical="center"/>
    </xf>
    <xf fontId="18671" applyFont="true" borderId="8" applyBorder="true" applyNumberFormat="true" numFmtId="167" fillId="22" applyFill="true">
      <alignment horizontal="center" vertical="center"/>
    </xf>
    <xf fontId="18672" applyFont="true" borderId="8" applyBorder="true" applyNumberFormat="true" numFmtId="166" fillId="22" applyFill="true">
      <alignment horizontal="center" vertical="center"/>
    </xf>
    <xf fontId="18673" applyFont="true" borderId="8" applyBorder="true" applyNumberFormat="true" numFmtId="166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67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1" fillId="22" applyFill="true">
      <alignment horizontal="center" vertical="center"/>
    </xf>
    <xf fontId="18688" applyFont="true" borderId="8" applyBorder="true" applyNumberFormat="true" numFmtId="167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2" fillId="22" applyFill="true">
      <alignment horizontal="center" vertical="center"/>
    </xf>
    <xf fontId="18722" applyFont="true" borderId="8" applyBorder="true" applyNumberFormat="true" numFmtId="2" fillId="22" applyFill="true">
      <alignment horizontal="center" vertical="center"/>
    </xf>
    <xf fontId="18723" applyFont="true" borderId="8" applyBorder="true" applyNumberFormat="true" numFmtId="165" fillId="19" applyFill="true">
      <alignment horizontal="left" vertical="center"/>
    </xf>
    <xf fontId="18724" applyFont="true" borderId="8" applyBorder="true" applyNumberFormat="true" numFmtId="165" fillId="22" applyFill="true">
      <alignment horizontal="center" vertical="center"/>
    </xf>
    <xf fontId="18725" applyFont="true" borderId="8" applyBorder="true" applyNumberFormat="true" numFmtId="166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" fillId="22" applyFill="true">
      <alignment horizontal="center" vertical="center"/>
    </xf>
    <xf fontId="18732" applyFont="true" borderId="8" applyBorder="true" applyNumberFormat="true" numFmtId="1" fillId="22" applyFill="true">
      <alignment horizontal="center" vertical="center"/>
    </xf>
    <xf fontId="18733" applyFont="true" borderId="8" applyBorder="true" applyNumberFormat="true" numFmtId="165" fillId="22" applyFill="true">
      <alignment horizontal="center" vertical="center"/>
    </xf>
    <xf fontId="18734" applyFont="true" borderId="8" applyBorder="true" applyNumberFormat="true" numFmtId="165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" fillId="22" applyFill="true">
      <alignment horizontal="center" vertical="center"/>
    </xf>
    <xf fontId="18744" applyFont="true" borderId="8" applyBorder="true" applyNumberFormat="true" numFmtId="167" fillId="22" applyFill="true">
      <alignment horizontal="center" vertical="center"/>
    </xf>
    <xf fontId="18745" applyFont="true" borderId="8" applyBorder="true" applyNumberFormat="true" numFmtId="167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" fillId="22" applyFill="true">
      <alignment horizontal="center" vertical="center"/>
    </xf>
    <xf fontId="18748" applyFont="true" borderId="8" applyBorder="true" applyNumberFormat="true" numFmtId="1" fillId="22" applyFill="true">
      <alignment horizontal="center" vertical="center"/>
    </xf>
    <xf fontId="18749" applyFont="true" borderId="8" applyBorder="true" applyNumberFormat="true" numFmtId="167" fillId="22" applyFill="true">
      <alignment horizontal="center" vertical="center"/>
    </xf>
    <xf fontId="18750" applyFont="true" borderId="8" applyBorder="true" applyNumberFormat="true" numFmtId="166" fillId="22" applyFill="true">
      <alignment horizontal="center" vertical="center"/>
    </xf>
    <xf fontId="18751" applyFont="true" borderId="8" applyBorder="true" applyNumberFormat="true" numFmtId="166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67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1" fillId="22" applyFill="true">
      <alignment horizontal="center" vertical="center"/>
    </xf>
    <xf fontId="18766" applyFont="true" borderId="8" applyBorder="true" applyNumberFormat="true" numFmtId="167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2" fillId="22" applyFill="true">
      <alignment horizontal="center" vertical="center"/>
    </xf>
    <xf fontId="18800" applyFont="true" borderId="8" applyBorder="true" applyNumberFormat="true" numFmtId="2" fillId="22" applyFill="true">
      <alignment horizontal="center" vertical="center"/>
    </xf>
    <xf fontId="18801" applyFont="true" borderId="8" applyBorder="true" applyNumberFormat="true" numFmtId="165" fillId="19" applyFill="true">
      <alignment horizontal="left" vertical="center"/>
    </xf>
    <xf fontId="18802" applyFont="true" borderId="8" applyBorder="true" applyNumberFormat="true" numFmtId="165" fillId="22" applyFill="true">
      <alignment horizontal="center" vertical="center"/>
    </xf>
    <xf fontId="18803" applyFont="true" borderId="8" applyBorder="true" applyNumberFormat="true" numFmtId="166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" fillId="22" applyFill="true">
      <alignment horizontal="center" vertical="center"/>
    </xf>
    <xf fontId="18810" applyFont="true" borderId="8" applyBorder="true" applyNumberFormat="true" numFmtId="1" fillId="22" applyFill="true">
      <alignment horizontal="center" vertical="center"/>
    </xf>
    <xf fontId="18811" applyFont="true" borderId="8" applyBorder="true" applyNumberFormat="true" numFmtId="165" fillId="22" applyFill="true">
      <alignment horizontal="center" vertical="center"/>
    </xf>
    <xf fontId="18812" applyFont="true" borderId="8" applyBorder="true" applyNumberFormat="true" numFmtId="165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" fillId="22" applyFill="true">
      <alignment horizontal="center" vertical="center"/>
    </xf>
    <xf fontId="18822" applyFont="true" borderId="8" applyBorder="true" applyNumberFormat="true" numFmtId="167" fillId="22" applyFill="true">
      <alignment horizontal="center" vertical="center"/>
    </xf>
    <xf fontId="18823" applyFont="true" borderId="8" applyBorder="true" applyNumberFormat="true" numFmtId="167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" fillId="22" applyFill="true">
      <alignment horizontal="center" vertical="center"/>
    </xf>
    <xf fontId="18826" applyFont="true" borderId="8" applyBorder="true" applyNumberFormat="true" numFmtId="1" fillId="22" applyFill="true">
      <alignment horizontal="center" vertical="center"/>
    </xf>
    <xf fontId="18827" applyFont="true" borderId="8" applyBorder="true" applyNumberFormat="true" numFmtId="167" fillId="22" applyFill="true">
      <alignment horizontal="center" vertical="center"/>
    </xf>
    <xf fontId="18828" applyFont="true" borderId="8" applyBorder="true" applyNumberFormat="true" numFmtId="166" fillId="22" applyFill="true">
      <alignment horizontal="center" vertical="center"/>
    </xf>
    <xf fontId="18829" applyFont="true" borderId="8" applyBorder="true" applyNumberFormat="true" numFmtId="166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67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1" fillId="22" applyFill="true">
      <alignment horizontal="center" vertical="center"/>
    </xf>
    <xf fontId="18844" applyFont="true" borderId="8" applyBorder="true" applyNumberFormat="true" numFmtId="167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applyNumberFormat="true" numFmtId="2" fillId="22" applyFill="true">
      <alignment horizontal="center" vertical="center"/>
    </xf>
    <xf fontId="18878" applyFont="true" borderId="8" applyBorder="true" applyNumberFormat="true" numFmtId="2" fillId="22" applyFill="true">
      <alignment horizontal="center" vertical="center"/>
    </xf>
    <xf fontId="18879" applyFont="true" borderId="8" applyBorder="true" applyNumberFormat="true" numFmtId="165" fillId="19" applyFill="true">
      <alignment horizontal="left" vertical="center"/>
    </xf>
    <xf fontId="18880" applyFont="true" borderId="8" applyBorder="true" applyNumberFormat="true" numFmtId="165" fillId="22" applyFill="true">
      <alignment horizontal="center" vertical="center"/>
    </xf>
    <xf fontId="18881" applyFont="true" borderId="8" applyBorder="true" applyNumberFormat="true" numFmtId="166" fillId="22" applyFill="true">
      <alignment horizontal="center" vertical="center"/>
    </xf>
    <xf fontId="18882" applyFont="true" borderId="8" applyBorder="true" applyNumberFormat="true" numFmtId="1" fillId="22" applyFill="true">
      <alignment horizontal="center" vertical="center"/>
    </xf>
    <xf fontId="18883" applyFont="true" borderId="8" applyBorder="true" applyNumberFormat="true" numFmtId="1" fillId="22" applyFill="true">
      <alignment horizontal="center" vertical="center"/>
    </xf>
    <xf fontId="18884" applyFont="true" borderId="8" applyBorder="true" applyNumberFormat="true" numFmtId="1" fillId="22" applyFill="true">
      <alignment horizontal="center" vertical="center"/>
    </xf>
    <xf fontId="18885" applyFont="true" borderId="8" applyBorder="true" applyNumberFormat="true" numFmtId="1" fillId="22" applyFill="true">
      <alignment horizontal="center" vertical="center"/>
    </xf>
    <xf fontId="18886" applyFont="true" borderId="8" applyBorder="true" applyNumberFormat="true" numFmtId="1" fillId="22" applyFill="true">
      <alignment horizontal="center" vertical="center"/>
    </xf>
    <xf fontId="18887" applyFont="true" borderId="8" applyBorder="true" applyNumberFormat="true" numFmtId="1" fillId="22" applyFill="true">
      <alignment horizontal="center" vertical="center"/>
    </xf>
    <xf fontId="18888" applyFont="true" borderId="8" applyBorder="true" applyNumberFormat="true" numFmtId="1" fillId="22" applyFill="true">
      <alignment horizontal="center" vertical="center"/>
    </xf>
    <xf fontId="18889" applyFont="true" borderId="8" applyBorder="true" applyNumberFormat="true" numFmtId="165" fillId="22" applyFill="true">
      <alignment horizontal="center" vertical="center"/>
    </xf>
    <xf fontId="18890" applyFont="true" borderId="8" applyBorder="true" applyNumberFormat="true" numFmtId="165" fillId="22" applyFill="true">
      <alignment horizontal="center" vertical="center"/>
    </xf>
    <xf fontId="18891" applyFont="true" borderId="8" applyBorder="true" applyNumberFormat="true" numFmtId="1" fillId="22" applyFill="true">
      <alignment horizontal="center" vertical="center"/>
    </xf>
    <xf fontId="18892" applyFont="true" borderId="8" applyBorder="true" applyNumberFormat="true" numFmtId="1" fillId="22" applyFill="true">
      <alignment horizontal="center" vertical="center"/>
    </xf>
    <xf fontId="18893" applyFont="true" borderId="8" applyBorder="true" applyNumberFormat="true" numFmtId="1" fillId="22" applyFill="true">
      <alignment horizontal="center" vertical="center"/>
    </xf>
    <xf fontId="18894" applyFont="true" borderId="8" applyBorder="true" applyNumberFormat="true" numFmtId="167" fillId="22" applyFill="true">
      <alignment horizontal="center" vertical="center"/>
    </xf>
    <xf fontId="18895" applyFont="true" borderId="8" applyBorder="true" applyNumberFormat="true" numFmtId="1" fillId="22" applyFill="true">
      <alignment horizontal="center" vertical="center"/>
    </xf>
    <xf fontId="18896" applyFont="true" borderId="8" applyBorder="true" applyNumberFormat="true" numFmtId="167" fillId="22" applyFill="true">
      <alignment horizontal="center" vertical="center"/>
    </xf>
    <xf fontId="18897" applyFont="true" borderId="8" applyBorder="true" applyNumberFormat="true" numFmtId="1" fillId="22" applyFill="true">
      <alignment horizontal="center" vertical="center"/>
    </xf>
    <xf fontId="18898" applyFont="true" borderId="8" applyBorder="true" applyNumberFormat="true" numFmtId="167" fillId="22" applyFill="true">
      <alignment horizontal="center" vertical="center"/>
    </xf>
    <xf fontId="18899" applyFont="true" borderId="8" applyBorder="true" applyNumberFormat="true" numFmtId="1" fillId="22" applyFill="true">
      <alignment horizontal="center" vertical="center"/>
    </xf>
    <xf fontId="18900" applyFont="true" borderId="8" applyBorder="true" applyNumberFormat="true" numFmtId="167" fillId="22" applyFill="true">
      <alignment horizontal="center" vertical="center"/>
    </xf>
    <xf fontId="18901" applyFont="true" borderId="8" applyBorder="true" applyNumberFormat="true" numFmtId="167" fillId="22" applyFill="true">
      <alignment horizontal="center" vertical="center"/>
    </xf>
    <xf fontId="18902" applyFont="true" borderId="8" applyBorder="true" applyNumberFormat="true" numFmtId="1" fillId="22" applyFill="true">
      <alignment horizontal="center" vertical="center"/>
    </xf>
    <xf fontId="18903" applyFont="true" borderId="8" applyBorder="true" applyNumberFormat="true" numFmtId="1" fillId="22" applyFill="true">
      <alignment horizontal="center" vertical="center"/>
    </xf>
    <xf fontId="18904" applyFont="true" borderId="8" applyBorder="true" applyNumberFormat="true" numFmtId="1" fillId="22" applyFill="true">
      <alignment horizontal="center" vertical="center"/>
    </xf>
    <xf fontId="18905" applyFont="true" borderId="8" applyBorder="true" applyNumberFormat="true" numFmtId="167" fillId="22" applyFill="true">
      <alignment horizontal="center" vertical="center"/>
    </xf>
    <xf fontId="18906" applyFont="true" borderId="8" applyBorder="true" applyNumberFormat="true" numFmtId="166" fillId="22" applyFill="true">
      <alignment horizontal="center" vertical="center"/>
    </xf>
    <xf fontId="18907" applyFont="true" borderId="8" applyBorder="true" applyNumberFormat="true" numFmtId="166" fillId="22" applyFill="true">
      <alignment horizontal="center" vertical="center"/>
    </xf>
    <xf fontId="18908" applyFont="true" borderId="8" applyBorder="true" applyNumberFormat="true" numFmtId="1" fillId="22" applyFill="true">
      <alignment horizontal="center" vertical="center"/>
    </xf>
    <xf fontId="18909" applyFont="true" borderId="8" applyBorder="true" applyNumberFormat="true" numFmtId="1" fillId="22" applyFill="true">
      <alignment horizontal="center" vertical="center"/>
    </xf>
    <xf fontId="18910" applyFont="true" borderId="8" applyBorder="true" applyNumberFormat="true" numFmtId="1" fillId="22" applyFill="true">
      <alignment horizontal="center" vertical="center"/>
    </xf>
    <xf fontId="18911" applyFont="true" borderId="8" applyBorder="true" applyNumberFormat="true" numFmtId="167" fillId="22" applyFill="true">
      <alignment horizontal="center" vertical="center"/>
    </xf>
    <xf fontId="18912" applyFont="true" borderId="8" applyBorder="true" applyNumberFormat="true" numFmtId="1" fillId="22" applyFill="true">
      <alignment horizontal="center" vertical="center"/>
    </xf>
    <xf fontId="18913" applyFont="true" borderId="8" applyBorder="true" applyNumberFormat="true" numFmtId="167" fillId="22" applyFill="true">
      <alignment horizontal="center" vertical="center"/>
    </xf>
    <xf fontId="18914" applyFont="true" borderId="8" applyBorder="true" applyNumberFormat="true" numFmtId="1" fillId="22" applyFill="true">
      <alignment horizontal="center" vertical="center"/>
    </xf>
    <xf fontId="18915" applyFont="true" borderId="8" applyBorder="true" applyNumberFormat="true" numFmtId="1" fillId="22" applyFill="true">
      <alignment horizontal="center" vertical="center"/>
    </xf>
    <xf fontId="18916" applyFont="true" borderId="8" applyBorder="true" applyNumberFormat="true" numFmtId="1" fillId="22" applyFill="true">
      <alignment horizontal="center" vertical="center"/>
    </xf>
    <xf fontId="18917" applyFont="true" borderId="8" applyBorder="true" applyNumberFormat="true" numFmtId="1" fillId="22" applyFill="true">
      <alignment horizontal="center" vertical="center"/>
    </xf>
    <xf fontId="18918" applyFont="true" borderId="8" applyBorder="true" applyNumberFormat="true" numFmtId="167" fillId="22" applyFill="true">
      <alignment horizontal="center" vertical="center"/>
    </xf>
    <xf fontId="18919" applyFont="true" borderId="8" applyBorder="true" applyNumberFormat="true" numFmtId="1" fillId="22" applyFill="true">
      <alignment horizontal="center" vertical="center"/>
    </xf>
    <xf fontId="18920" applyFont="true" borderId="8" applyBorder="true" applyNumberFormat="true" numFmtId="167" fillId="22" applyFill="true">
      <alignment horizontal="center" vertical="center"/>
    </xf>
    <xf fontId="18921" applyFont="true" borderId="8" applyBorder="true" applyNumberFormat="true" numFmtId="1" fillId="22" applyFill="true">
      <alignment horizontal="center" vertical="center"/>
    </xf>
    <xf fontId="18922" applyFont="true" borderId="8" applyBorder="true" applyNumberFormat="true" numFmtId="167" fillId="22" applyFill="true">
      <alignment horizontal="center" vertical="center"/>
    </xf>
    <xf fontId="18923" applyFont="true" borderId="8" applyBorder="true" applyNumberFormat="true" numFmtId="2" fillId="22" applyFill="true">
      <alignment horizontal="center" vertical="center"/>
    </xf>
    <xf fontId="18924" applyFont="true" borderId="8" applyBorder="true" applyNumberFormat="true" numFmtId="2" fillId="22" applyFill="true">
      <alignment horizontal="center" vertical="center"/>
    </xf>
    <xf fontId="18925" applyFont="true" borderId="8" applyBorder="true" applyNumberFormat="true" numFmtId="2" fillId="22" applyFill="true">
      <alignment horizontal="center" vertical="center"/>
    </xf>
    <xf fontId="18926" applyFont="true" borderId="8" applyBorder="true" applyNumberFormat="true" numFmtId="2" fillId="22" applyFill="true">
      <alignment horizontal="center" vertical="center"/>
    </xf>
    <xf fontId="18927" applyFont="true" borderId="8" applyBorder="true" applyNumberFormat="true" numFmtId="2" fillId="22" applyFill="true">
      <alignment horizontal="center" vertical="center"/>
    </xf>
    <xf fontId="18928" applyFont="true" borderId="8" applyBorder="true" applyNumberFormat="true" numFmtId="2" fillId="22" applyFill="true">
      <alignment horizontal="center" vertical="center"/>
    </xf>
    <xf fontId="18929" applyFont="true" borderId="8" applyBorder="true" applyNumberFormat="true" numFmtId="2" fillId="22" applyFill="true">
      <alignment horizontal="center" vertical="center"/>
    </xf>
    <xf fontId="18930" applyFont="true" borderId="8" applyBorder="true" applyNumberFormat="true" numFmtId="2" fillId="22" applyFill="true">
      <alignment horizontal="center" vertical="center"/>
    </xf>
    <xf fontId="18931" applyFont="true" borderId="8" applyBorder="true" applyNumberFormat="true" numFmtId="2" fillId="22" applyFill="true">
      <alignment horizontal="center" vertical="center"/>
    </xf>
    <xf fontId="18932" applyFont="true" borderId="8" applyBorder="true" applyNumberFormat="true" numFmtId="2" fillId="22" applyFill="true">
      <alignment horizontal="center" vertical="center"/>
    </xf>
    <xf fontId="18933" applyFont="true" borderId="8" applyBorder="true" applyNumberFormat="true" numFmtId="2" fillId="22" applyFill="true">
      <alignment horizontal="center" vertical="center"/>
    </xf>
    <xf fontId="18934" applyFont="true" borderId="8" applyBorder="true" applyNumberFormat="true" numFmtId="2" fillId="22" applyFill="true">
      <alignment horizontal="center" vertical="center"/>
    </xf>
    <xf fontId="18935" applyFont="true" borderId="8" applyBorder="true" applyNumberFormat="true" numFmtId="2" fillId="22" applyFill="true">
      <alignment horizontal="center" vertical="center"/>
    </xf>
    <xf fontId="18936" applyFont="true" borderId="8" applyBorder="true" applyNumberFormat="true" numFmtId="2" fillId="22" applyFill="true">
      <alignment horizontal="center" vertical="center"/>
    </xf>
    <xf fontId="18937" applyFont="true" borderId="8" applyBorder="true" applyNumberFormat="true" numFmtId="2" fillId="22" applyFill="true">
      <alignment horizontal="center" vertical="center"/>
    </xf>
    <xf fontId="18938" applyFont="true" borderId="8" applyBorder="true" applyNumberFormat="true" numFmtId="2" fillId="22" applyFill="true">
      <alignment horizontal="center" vertical="center"/>
    </xf>
    <xf fontId="18939" applyFont="true" borderId="8" applyBorder="true" applyNumberFormat="true" numFmtId="2" fillId="22" applyFill="true">
      <alignment horizontal="center" vertical="center"/>
    </xf>
    <xf fontId="18940" applyFont="true" borderId="8" applyBorder="true" applyNumberFormat="true" numFmtId="2" fillId="22" applyFill="true">
      <alignment horizontal="center" vertical="center"/>
    </xf>
    <xf fontId="18941" applyFont="true" borderId="8" applyBorder="true" applyNumberFormat="true" numFmtId="2" fillId="22" applyFill="true">
      <alignment horizontal="center" vertical="center"/>
    </xf>
    <xf fontId="18942" applyFont="true" borderId="8" applyBorder="true" applyNumberFormat="true" numFmtId="2" fillId="22" applyFill="true">
      <alignment horizontal="center" vertical="center"/>
    </xf>
    <xf fontId="18943" applyFont="true" borderId="8" applyBorder="true" applyNumberFormat="true" numFmtId="2" fillId="22" applyFill="true">
      <alignment horizontal="center" vertical="center"/>
    </xf>
    <xf fontId="18944" applyFont="true" borderId="8" applyBorder="true" applyNumberFormat="true" numFmtId="2" fillId="22" applyFill="true">
      <alignment horizontal="center" vertical="center"/>
    </xf>
    <xf fontId="18945" applyFont="true" borderId="8" applyBorder="true" applyNumberFormat="true" numFmtId="2" fillId="22" applyFill="true">
      <alignment horizontal="center" vertical="center"/>
    </xf>
    <xf fontId="18946" applyFont="true" borderId="8" applyBorder="true" applyNumberFormat="true" numFmtId="2" fillId="22" applyFill="true">
      <alignment horizontal="center" vertical="center"/>
    </xf>
    <xf fontId="18947" applyFont="true" borderId="8" applyBorder="true" applyNumberFormat="true" numFmtId="2" fillId="22" applyFill="true">
      <alignment horizontal="center" vertical="center"/>
    </xf>
    <xf fontId="18948" applyFont="true" borderId="8" applyBorder="true" applyNumberFormat="true" numFmtId="2" fillId="22" applyFill="true">
      <alignment horizontal="center" vertical="center"/>
    </xf>
    <xf fontId="18949" applyFont="true" borderId="8" applyBorder="true" applyNumberFormat="true" numFmtId="2" fillId="22" applyFill="true">
      <alignment horizontal="center" vertical="center"/>
    </xf>
    <xf fontId="18950" applyFont="true" borderId="8" applyBorder="true" applyNumberFormat="true" numFmtId="2" fillId="22" applyFill="true">
      <alignment horizontal="center" vertical="center"/>
    </xf>
    <xf fontId="18951" applyFont="true" borderId="8" applyBorder="true" applyNumberFormat="true" numFmtId="2" fillId="22" applyFill="true">
      <alignment horizontal="center" vertical="center"/>
    </xf>
    <xf fontId="18952" applyFont="true" borderId="8" applyBorder="true" applyNumberFormat="true" numFmtId="2" fillId="22" applyFill="true">
      <alignment horizontal="center" vertical="center"/>
    </xf>
    <xf fontId="18953" applyFont="true" borderId="8" applyBorder="true" applyNumberFormat="true" numFmtId="2" fillId="22" applyFill="true">
      <alignment horizontal="center" vertical="center"/>
    </xf>
    <xf fontId="18954" applyFont="true" borderId="8" applyBorder="true" applyNumberFormat="true" numFmtId="2" fillId="22" applyFill="true">
      <alignment horizontal="center" vertical="center"/>
    </xf>
    <xf fontId="18955" applyFont="true" borderId="8" applyBorder="true" applyNumberFormat="true" numFmtId="2" fillId="22" applyFill="true">
      <alignment horizontal="center" vertical="center"/>
    </xf>
    <xf fontId="18956" applyFont="true" borderId="8" applyBorder="true" applyNumberFormat="true" numFmtId="2" fillId="22" applyFill="true">
      <alignment horizontal="center" vertical="center"/>
    </xf>
    <xf fontId="18957" applyFont="true" borderId="8" applyBorder="true" applyNumberFormat="true" numFmtId="165" fillId="19" applyFill="true">
      <alignment horizontal="left" vertical="center"/>
    </xf>
    <xf fontId="18958" applyFont="true" borderId="8" applyBorder="true" applyNumberFormat="true" numFmtId="165" fillId="22" applyFill="true">
      <alignment horizontal="center" vertical="center"/>
    </xf>
    <xf fontId="18959" applyFont="true" borderId="8" applyBorder="true" applyNumberFormat="true" numFmtId="166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" fillId="22" applyFill="true">
      <alignment horizontal="center" vertical="center"/>
    </xf>
    <xf fontId="18966" applyFont="true" borderId="8" applyBorder="true" applyNumberFormat="true" numFmtId="1" fillId="22" applyFill="true">
      <alignment horizontal="center" vertical="center"/>
    </xf>
    <xf fontId="18967" applyFont="true" borderId="8" applyBorder="true" applyNumberFormat="true" numFmtId="165" fillId="22" applyFill="true">
      <alignment horizontal="center" vertical="center"/>
    </xf>
    <xf fontId="18968" applyFont="true" borderId="8" applyBorder="true" applyNumberFormat="true" numFmtId="165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" fillId="22" applyFill="true">
      <alignment horizontal="center" vertical="center"/>
    </xf>
    <xf fontId="18978" applyFont="true" borderId="8" applyBorder="true" applyNumberFormat="true" numFmtId="167" fillId="22" applyFill="true">
      <alignment horizontal="center" vertical="center"/>
    </xf>
    <xf fontId="18979" applyFont="true" borderId="8" applyBorder="true" applyNumberFormat="true" numFmtId="167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" fillId="22" applyFill="true">
      <alignment horizontal="center" vertical="center"/>
    </xf>
    <xf fontId="18982" applyFont="true" borderId="8" applyBorder="true" applyNumberFormat="true" numFmtId="1" fillId="22" applyFill="true">
      <alignment horizontal="center" vertical="center"/>
    </xf>
    <xf fontId="18983" applyFont="true" borderId="8" applyBorder="true" applyNumberFormat="true" numFmtId="167" fillId="22" applyFill="true">
      <alignment horizontal="center" vertical="center"/>
    </xf>
    <xf fontId="18984" applyFont="true" borderId="8" applyBorder="true" applyNumberFormat="true" numFmtId="166" fillId="22" applyFill="true">
      <alignment horizontal="center" vertical="center"/>
    </xf>
    <xf fontId="18985" applyFont="true" borderId="8" applyBorder="true" applyNumberFormat="true" numFmtId="166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67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1" fillId="22" applyFill="true">
      <alignment horizontal="center" vertical="center"/>
    </xf>
    <xf fontId="19000" applyFont="true" borderId="8" applyBorder="true" applyNumberFormat="true" numFmtId="167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2" fillId="22" applyFill="true">
      <alignment horizontal="center" vertical="center"/>
    </xf>
    <xf fontId="19034" applyFont="true" borderId="8" applyBorder="true" applyNumberFormat="true" numFmtId="2" fillId="22" applyFill="true">
      <alignment horizontal="center" vertical="center"/>
    </xf>
    <xf fontId="19035" applyFont="true" borderId="8" applyBorder="true" applyNumberFormat="true" numFmtId="165" fillId="19" applyFill="true">
      <alignment horizontal="left" vertical="center"/>
    </xf>
    <xf fontId="19036" applyFont="true" borderId="8" applyBorder="true" applyNumberFormat="true" numFmtId="165" fillId="22" applyFill="true">
      <alignment horizontal="center" vertical="center"/>
    </xf>
    <xf fontId="19037" applyFont="true" borderId="8" applyBorder="true" applyNumberFormat="true" numFmtId="166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" fillId="22" applyFill="true">
      <alignment horizontal="center" vertical="center"/>
    </xf>
    <xf fontId="19044" applyFont="true" borderId="8" applyBorder="true" applyNumberFormat="true" numFmtId="1" fillId="22" applyFill="true">
      <alignment horizontal="center" vertical="center"/>
    </xf>
    <xf fontId="19045" applyFont="true" borderId="8" applyBorder="true" applyNumberFormat="true" numFmtId="165" fillId="22" applyFill="true">
      <alignment horizontal="center" vertical="center"/>
    </xf>
    <xf fontId="19046" applyFont="true" borderId="8" applyBorder="true" applyNumberFormat="true" numFmtId="165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" fillId="22" applyFill="true">
      <alignment horizontal="center" vertical="center"/>
    </xf>
    <xf fontId="19056" applyFont="true" borderId="8" applyBorder="true" applyNumberFormat="true" numFmtId="167" fillId="22" applyFill="true">
      <alignment horizontal="center" vertical="center"/>
    </xf>
    <xf fontId="19057" applyFont="true" borderId="8" applyBorder="true" applyNumberFormat="true" numFmtId="167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" fillId="22" applyFill="true">
      <alignment horizontal="center" vertical="center"/>
    </xf>
    <xf fontId="19060" applyFont="true" borderId="8" applyBorder="true" applyNumberFormat="true" numFmtId="1" fillId="22" applyFill="true">
      <alignment horizontal="center" vertical="center"/>
    </xf>
    <xf fontId="19061" applyFont="true" borderId="8" applyBorder="true" applyNumberFormat="true" numFmtId="167" fillId="22" applyFill="true">
      <alignment horizontal="center" vertical="center"/>
    </xf>
    <xf fontId="19062" applyFont="true" borderId="8" applyBorder="true" applyNumberFormat="true" numFmtId="166" fillId="22" applyFill="true">
      <alignment horizontal="center" vertical="center"/>
    </xf>
    <xf fontId="19063" applyFont="true" borderId="8" applyBorder="true" applyNumberFormat="true" numFmtId="166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67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1" fillId="22" applyFill="true">
      <alignment horizontal="center" vertical="center"/>
    </xf>
    <xf fontId="19078" applyFont="true" borderId="8" applyBorder="true" applyNumberFormat="true" numFmtId="167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2" fillId="22" applyFill="true">
      <alignment horizontal="center" vertical="center"/>
    </xf>
    <xf fontId="19112" applyFont="true" borderId="8" applyBorder="true" applyNumberFormat="true" numFmtId="2" fillId="22" applyFill="true">
      <alignment horizontal="center" vertical="center"/>
    </xf>
    <xf fontId="19113" applyFont="true" borderId="8" applyBorder="true" applyNumberFormat="true" numFmtId="165" fillId="19" applyFill="true">
      <alignment horizontal="left" vertical="center"/>
    </xf>
    <xf fontId="19114" applyFont="true" borderId="8" applyBorder="true" applyNumberFormat="true" numFmtId="165" fillId="22" applyFill="true">
      <alignment horizontal="center" vertical="center"/>
    </xf>
    <xf fontId="19115" applyFont="true" borderId="8" applyBorder="true" applyNumberFormat="true" numFmtId="166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" fillId="22" applyFill="true">
      <alignment horizontal="center" vertical="center"/>
    </xf>
    <xf fontId="19122" applyFont="true" borderId="8" applyBorder="true" applyNumberFormat="true" numFmtId="1" fillId="22" applyFill="true">
      <alignment horizontal="center" vertical="center"/>
    </xf>
    <xf fontId="19123" applyFont="true" borderId="8" applyBorder="true" applyNumberFormat="true" numFmtId="165" fillId="22" applyFill="true">
      <alignment horizontal="center" vertical="center"/>
    </xf>
    <xf fontId="19124" applyFont="true" borderId="8" applyBorder="true" applyNumberFormat="true" numFmtId="165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" fillId="22" applyFill="true">
      <alignment horizontal="center" vertical="center"/>
    </xf>
    <xf fontId="19134" applyFont="true" borderId="8" applyBorder="true" applyNumberFormat="true" numFmtId="167" fillId="22" applyFill="true">
      <alignment horizontal="center" vertical="center"/>
    </xf>
    <xf fontId="19135" applyFont="true" borderId="8" applyBorder="true" applyNumberFormat="true" numFmtId="167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" fillId="22" applyFill="true">
      <alignment horizontal="center" vertical="center"/>
    </xf>
    <xf fontId="19138" applyFont="true" borderId="8" applyBorder="true" applyNumberFormat="true" numFmtId="1" fillId="22" applyFill="true">
      <alignment horizontal="center" vertical="center"/>
    </xf>
    <xf fontId="19139" applyFont="true" borderId="8" applyBorder="true" applyNumberFormat="true" numFmtId="167" fillId="22" applyFill="true">
      <alignment horizontal="center" vertical="center"/>
    </xf>
    <xf fontId="19140" applyFont="true" borderId="8" applyBorder="true" applyNumberFormat="true" numFmtId="166" fillId="22" applyFill="true">
      <alignment horizontal="center" vertical="center"/>
    </xf>
    <xf fontId="19141" applyFont="true" borderId="8" applyBorder="true" applyNumberFormat="true" numFmtId="166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67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1" fillId="22" applyFill="true">
      <alignment horizontal="center" vertical="center"/>
    </xf>
    <xf fontId="19156" applyFont="true" borderId="8" applyBorder="true" applyNumberFormat="true" numFmtId="167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2" fillId="22" applyFill="true">
      <alignment horizontal="center" vertical="center"/>
    </xf>
    <xf fontId="19190" applyFont="true" borderId="8" applyBorder="true" applyNumberFormat="true" numFmtId="2" fillId="22" applyFill="true">
      <alignment horizontal="center" vertical="center"/>
    </xf>
    <xf fontId="19191" applyFont="true" borderId="8" applyBorder="true" applyNumberFormat="true" numFmtId="165" fillId="19" applyFill="true">
      <alignment horizontal="left" vertical="center"/>
    </xf>
    <xf fontId="19192" applyFont="true" borderId="8" applyBorder="true" applyNumberFormat="true" numFmtId="165" fillId="22" applyFill="true">
      <alignment horizontal="center" vertical="center"/>
    </xf>
    <xf fontId="19193" applyFont="true" borderId="8" applyBorder="true" applyNumberFormat="true" numFmtId="166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" fillId="22" applyFill="true">
      <alignment horizontal="center" vertical="center"/>
    </xf>
    <xf fontId="19200" applyFont="true" borderId="8" applyBorder="true" applyNumberFormat="true" numFmtId="1" fillId="22" applyFill="true">
      <alignment horizontal="center" vertical="center"/>
    </xf>
    <xf fontId="19201" applyFont="true" borderId="8" applyBorder="true" applyNumberFormat="true" numFmtId="165" fillId="22" applyFill="true">
      <alignment horizontal="center" vertical="center"/>
    </xf>
    <xf fontId="19202" applyFont="true" borderId="8" applyBorder="true" applyNumberFormat="true" numFmtId="165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" fillId="22" applyFill="true">
      <alignment horizontal="center" vertical="center"/>
    </xf>
    <xf fontId="19212" applyFont="true" borderId="8" applyBorder="true" applyNumberFormat="true" numFmtId="167" fillId="22" applyFill="true">
      <alignment horizontal="center" vertical="center"/>
    </xf>
    <xf fontId="19213" applyFont="true" borderId="8" applyBorder="true" applyNumberFormat="true" numFmtId="167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" fillId="22" applyFill="true">
      <alignment horizontal="center" vertical="center"/>
    </xf>
    <xf fontId="19216" applyFont="true" borderId="8" applyBorder="true" applyNumberFormat="true" numFmtId="1" fillId="22" applyFill="true">
      <alignment horizontal="center" vertical="center"/>
    </xf>
    <xf fontId="19217" applyFont="true" borderId="8" applyBorder="true" applyNumberFormat="true" numFmtId="167" fillId="22" applyFill="true">
      <alignment horizontal="center" vertical="center"/>
    </xf>
    <xf fontId="19218" applyFont="true" borderId="8" applyBorder="true" applyNumberFormat="true" numFmtId="166" fillId="22" applyFill="true">
      <alignment horizontal="center" vertical="center"/>
    </xf>
    <xf fontId="19219" applyFont="true" borderId="8" applyBorder="true" applyNumberFormat="true" numFmtId="166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67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1" fillId="22" applyFill="true">
      <alignment horizontal="center" vertical="center"/>
    </xf>
    <xf fontId="19234" applyFont="true" borderId="8" applyBorder="true" applyNumberFormat="true" numFmtId="167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2" fillId="22" applyFill="true">
      <alignment horizontal="center" vertical="center"/>
    </xf>
    <xf fontId="19268" applyFont="true" borderId="8" applyBorder="true" applyNumberFormat="true" numFmtId="2" fillId="22" applyFill="true">
      <alignment horizontal="center" vertical="center"/>
    </xf>
    <xf fontId="19269" applyFont="true" borderId="8" applyBorder="true" applyNumberFormat="true" numFmtId="165" fillId="19" applyFill="true">
      <alignment horizontal="left" vertical="center"/>
    </xf>
    <xf fontId="19270" applyFont="true" borderId="8" applyBorder="true" applyNumberFormat="true" numFmtId="165" fillId="22" applyFill="true">
      <alignment horizontal="center" vertical="center"/>
    </xf>
    <xf fontId="19271" applyFont="true" borderId="8" applyBorder="true" applyNumberFormat="true" numFmtId="166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" fillId="22" applyFill="true">
      <alignment horizontal="center" vertical="center"/>
    </xf>
    <xf fontId="19278" applyFont="true" borderId="8" applyBorder="true" applyNumberFormat="true" numFmtId="1" fillId="22" applyFill="true">
      <alignment horizontal="center" vertical="center"/>
    </xf>
    <xf fontId="19279" applyFont="true" borderId="8" applyBorder="true" applyNumberFormat="true" numFmtId="165" fillId="22" applyFill="true">
      <alignment horizontal="center" vertical="center"/>
    </xf>
    <xf fontId="19280" applyFont="true" borderId="8" applyBorder="true" applyNumberFormat="true" numFmtId="165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" fillId="22" applyFill="true">
      <alignment horizontal="center" vertical="center"/>
    </xf>
    <xf fontId="19290" applyFont="true" borderId="8" applyBorder="true" applyNumberFormat="true" numFmtId="167" fillId="22" applyFill="true">
      <alignment horizontal="center" vertical="center"/>
    </xf>
    <xf fontId="19291" applyFont="true" borderId="8" applyBorder="true" applyNumberFormat="true" numFmtId="167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" fillId="22" applyFill="true">
      <alignment horizontal="center" vertical="center"/>
    </xf>
    <xf fontId="19294" applyFont="true" borderId="8" applyBorder="true" applyNumberFormat="true" numFmtId="1" fillId="22" applyFill="true">
      <alignment horizontal="center" vertical="center"/>
    </xf>
    <xf fontId="19295" applyFont="true" borderId="8" applyBorder="true" applyNumberFormat="true" numFmtId="167" fillId="22" applyFill="true">
      <alignment horizontal="center" vertical="center"/>
    </xf>
    <xf fontId="19296" applyFont="true" borderId="8" applyBorder="true" applyNumberFormat="true" numFmtId="166" fillId="22" applyFill="true">
      <alignment horizontal="center" vertical="center"/>
    </xf>
    <xf fontId="19297" applyFont="true" borderId="8" applyBorder="true" applyNumberFormat="true" numFmtId="166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67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1" fillId="22" applyFill="true">
      <alignment horizontal="center" vertical="center"/>
    </xf>
    <xf fontId="19312" applyFont="true" borderId="8" applyBorder="true" applyNumberFormat="true" numFmtId="167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2" fillId="22" applyFill="true">
      <alignment horizontal="center" vertical="center"/>
    </xf>
    <xf fontId="19346" applyFont="true" borderId="8" applyBorder="true" applyNumberFormat="true" numFmtId="2" fillId="22" applyFill="true">
      <alignment horizontal="center" vertical="center"/>
    </xf>
    <xf fontId="19347" applyFont="true" borderId="8" applyBorder="true" applyNumberFormat="true" numFmtId="165" fillId="19" applyFill="true">
      <alignment horizontal="left" vertical="center"/>
    </xf>
    <xf fontId="19348" applyFont="true" borderId="8" applyBorder="true" applyNumberFormat="true" numFmtId="165" fillId="22" applyFill="true">
      <alignment horizontal="center" vertical="center"/>
    </xf>
    <xf fontId="19349" applyFont="true" borderId="8" applyBorder="true" applyNumberFormat="true" numFmtId="166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" fillId="22" applyFill="true">
      <alignment horizontal="center" vertical="center"/>
    </xf>
    <xf fontId="19356" applyFont="true" borderId="8" applyBorder="true" applyNumberFormat="true" numFmtId="1" fillId="22" applyFill="true">
      <alignment horizontal="center" vertical="center"/>
    </xf>
    <xf fontId="19357" applyFont="true" borderId="8" applyBorder="true" applyNumberFormat="true" numFmtId="165" fillId="22" applyFill="true">
      <alignment horizontal="center" vertical="center"/>
    </xf>
    <xf fontId="19358" applyFont="true" borderId="8" applyBorder="true" applyNumberFormat="true" numFmtId="165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" fillId="22" applyFill="true">
      <alignment horizontal="center" vertical="center"/>
    </xf>
    <xf fontId="19368" applyFont="true" borderId="8" applyBorder="true" applyNumberFormat="true" numFmtId="167" fillId="22" applyFill="true">
      <alignment horizontal="center" vertical="center"/>
    </xf>
    <xf fontId="19369" applyFont="true" borderId="8" applyBorder="true" applyNumberFormat="true" numFmtId="167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" fillId="22" applyFill="true">
      <alignment horizontal="center" vertical="center"/>
    </xf>
    <xf fontId="19372" applyFont="true" borderId="8" applyBorder="true" applyNumberFormat="true" numFmtId="1" fillId="22" applyFill="true">
      <alignment horizontal="center" vertical="center"/>
    </xf>
    <xf fontId="19373" applyFont="true" borderId="8" applyBorder="true" applyNumberFormat="true" numFmtId="167" fillId="22" applyFill="true">
      <alignment horizontal="center" vertical="center"/>
    </xf>
    <xf fontId="19374" applyFont="true" borderId="8" applyBorder="true" applyNumberFormat="true" numFmtId="166" fillId="22" applyFill="true">
      <alignment horizontal="center" vertical="center"/>
    </xf>
    <xf fontId="19375" applyFont="true" borderId="8" applyBorder="true" applyNumberFormat="true" numFmtId="166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67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1" fillId="22" applyFill="true">
      <alignment horizontal="center" vertical="center"/>
    </xf>
    <xf fontId="19390" applyFont="true" borderId="8" applyBorder="true" applyNumberFormat="true" numFmtId="167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2" fillId="22" applyFill="true">
      <alignment horizontal="center" vertical="center"/>
    </xf>
    <xf fontId="19424" applyFont="true" borderId="8" applyBorder="true" applyNumberFormat="true" numFmtId="2" fillId="22" applyFill="true">
      <alignment horizontal="center" vertical="center"/>
    </xf>
    <xf fontId="19425" applyFont="true" borderId="8" applyBorder="true" applyNumberFormat="true" numFmtId="165" fillId="19" applyFill="true">
      <alignment horizontal="left" vertical="center"/>
    </xf>
    <xf fontId="19426" applyFont="true" borderId="8" applyBorder="true" applyNumberFormat="true" numFmtId="165" fillId="22" applyFill="true">
      <alignment horizontal="center" vertical="center"/>
    </xf>
    <xf fontId="19427" applyFont="true" borderId="8" applyBorder="true" applyNumberFormat="true" numFmtId="166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" fillId="22" applyFill="true">
      <alignment horizontal="center" vertical="center"/>
    </xf>
    <xf fontId="19434" applyFont="true" borderId="8" applyBorder="true" applyNumberFormat="true" numFmtId="1" fillId="22" applyFill="true">
      <alignment horizontal="center" vertical="center"/>
    </xf>
    <xf fontId="19435" applyFont="true" borderId="8" applyBorder="true" applyNumberFormat="true" numFmtId="165" fillId="22" applyFill="true">
      <alignment horizontal="center" vertical="center"/>
    </xf>
    <xf fontId="19436" applyFont="true" borderId="8" applyBorder="true" applyNumberFormat="true" numFmtId="165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" fillId="22" applyFill="true">
      <alignment horizontal="center" vertical="center"/>
    </xf>
    <xf fontId="19446" applyFont="true" borderId="8" applyBorder="true" applyNumberFormat="true" numFmtId="167" fillId="22" applyFill="true">
      <alignment horizontal="center" vertical="center"/>
    </xf>
    <xf fontId="19447" applyFont="true" borderId="8" applyBorder="true" applyNumberFormat="true" numFmtId="167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" fillId="22" applyFill="true">
      <alignment horizontal="center" vertical="center"/>
    </xf>
    <xf fontId="19450" applyFont="true" borderId="8" applyBorder="true" applyNumberFormat="true" numFmtId="1" fillId="22" applyFill="true">
      <alignment horizontal="center" vertical="center"/>
    </xf>
    <xf fontId="19451" applyFont="true" borderId="8" applyBorder="true" applyNumberFormat="true" numFmtId="167" fillId="22" applyFill="true">
      <alignment horizontal="center" vertical="center"/>
    </xf>
    <xf fontId="19452" applyFont="true" borderId="8" applyBorder="true" applyNumberFormat="true" numFmtId="166" fillId="22" applyFill="true">
      <alignment horizontal="center" vertical="center"/>
    </xf>
    <xf fontId="19453" applyFont="true" borderId="8" applyBorder="true" applyNumberFormat="true" numFmtId="166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67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1" fillId="22" applyFill="true">
      <alignment horizontal="center" vertical="center"/>
    </xf>
    <xf fontId="19468" applyFont="true" borderId="8" applyBorder="true" applyNumberFormat="true" numFmtId="167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2" fillId="22" applyFill="true">
      <alignment horizontal="center" vertical="center"/>
    </xf>
    <xf fontId="19502" applyFont="true" borderId="8" applyBorder="true" applyNumberFormat="true" numFmtId="2" fillId="22" applyFill="true">
      <alignment horizontal="center" vertical="center"/>
    </xf>
    <xf fontId="19503" applyFont="true" borderId="8" applyBorder="true" applyNumberFormat="true" numFmtId="165" fillId="19" applyFill="true">
      <alignment horizontal="left" vertical="center"/>
    </xf>
    <xf fontId="19504" applyFont="true" borderId="8" applyBorder="true" applyNumberFormat="true" numFmtId="165" fillId="22" applyFill="true">
      <alignment horizontal="center" vertical="center"/>
    </xf>
    <xf fontId="19505" applyFont="true" borderId="8" applyBorder="true" applyNumberFormat="true" numFmtId="166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" fillId="22" applyFill="true">
      <alignment horizontal="center" vertical="center"/>
    </xf>
    <xf fontId="19512" applyFont="true" borderId="8" applyBorder="true" applyNumberFormat="true" numFmtId="1" fillId="22" applyFill="true">
      <alignment horizontal="center" vertical="center"/>
    </xf>
    <xf fontId="19513" applyFont="true" borderId="8" applyBorder="true" applyNumberFormat="true" numFmtId="165" fillId="22" applyFill="true">
      <alignment horizontal="center" vertical="center"/>
    </xf>
    <xf fontId="19514" applyFont="true" borderId="8" applyBorder="true" applyNumberFormat="true" numFmtId="165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" fillId="22" applyFill="true">
      <alignment horizontal="center" vertical="center"/>
    </xf>
    <xf fontId="19524" applyFont="true" borderId="8" applyBorder="true" applyNumberFormat="true" numFmtId="167" fillId="22" applyFill="true">
      <alignment horizontal="center" vertical="center"/>
    </xf>
    <xf fontId="19525" applyFont="true" borderId="8" applyBorder="true" applyNumberFormat="true" numFmtId="167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" fillId="22" applyFill="true">
      <alignment horizontal="center" vertical="center"/>
    </xf>
    <xf fontId="19528" applyFont="true" borderId="8" applyBorder="true" applyNumberFormat="true" numFmtId="1" fillId="22" applyFill="true">
      <alignment horizontal="center" vertical="center"/>
    </xf>
    <xf fontId="19529" applyFont="true" borderId="8" applyBorder="true" applyNumberFormat="true" numFmtId="167" fillId="22" applyFill="true">
      <alignment horizontal="center" vertical="center"/>
    </xf>
    <xf fontId="19530" applyFont="true" borderId="8" applyBorder="true" applyNumberFormat="true" numFmtId="166" fillId="22" applyFill="true">
      <alignment horizontal="center" vertical="center"/>
    </xf>
    <xf fontId="19531" applyFont="true" borderId="8" applyBorder="true" applyNumberFormat="true" numFmtId="166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67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1" fillId="22" applyFill="true">
      <alignment horizontal="center" vertical="center"/>
    </xf>
    <xf fontId="19546" applyFont="true" borderId="8" applyBorder="true" applyNumberFormat="true" numFmtId="167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2" fillId="22" applyFill="true">
      <alignment horizontal="center" vertical="center"/>
    </xf>
    <xf fontId="19580" applyFont="true" borderId="8" applyBorder="true" applyNumberFormat="true" numFmtId="2" fillId="22" applyFill="true">
      <alignment horizontal="center" vertical="center"/>
    </xf>
    <xf fontId="19581" applyFont="true" borderId="8" applyBorder="true" applyNumberFormat="true" numFmtId="165" fillId="19" applyFill="true">
      <alignment horizontal="left" vertical="center"/>
    </xf>
    <xf fontId="19582" applyFont="true" borderId="8" applyBorder="true" applyNumberFormat="true" numFmtId="165" fillId="22" applyFill="true">
      <alignment horizontal="center" vertical="center"/>
    </xf>
    <xf fontId="19583" applyFont="true" borderId="8" applyBorder="true" applyNumberFormat="true" numFmtId="166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" fillId="22" applyFill="true">
      <alignment horizontal="center" vertical="center"/>
    </xf>
    <xf fontId="19590" applyFont="true" borderId="8" applyBorder="true" applyNumberFormat="true" numFmtId="1" fillId="22" applyFill="true">
      <alignment horizontal="center" vertical="center"/>
    </xf>
    <xf fontId="19591" applyFont="true" borderId="8" applyBorder="true" applyNumberFormat="true" numFmtId="165" fillId="22" applyFill="true">
      <alignment horizontal="center" vertical="center"/>
    </xf>
    <xf fontId="19592" applyFont="true" borderId="8" applyBorder="true" applyNumberFormat="true" numFmtId="165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" fillId="22" applyFill="true">
      <alignment horizontal="center" vertical="center"/>
    </xf>
    <xf fontId="19602" applyFont="true" borderId="8" applyBorder="true" applyNumberFormat="true" numFmtId="167" fillId="22" applyFill="true">
      <alignment horizontal="center" vertical="center"/>
    </xf>
    <xf fontId="19603" applyFont="true" borderId="8" applyBorder="true" applyNumberFormat="true" numFmtId="167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" fillId="22" applyFill="true">
      <alignment horizontal="center" vertical="center"/>
    </xf>
    <xf fontId="19606" applyFont="true" borderId="8" applyBorder="true" applyNumberFormat="true" numFmtId="1" fillId="22" applyFill="true">
      <alignment horizontal="center" vertical="center"/>
    </xf>
    <xf fontId="19607" applyFont="true" borderId="8" applyBorder="true" applyNumberFormat="true" numFmtId="167" fillId="22" applyFill="true">
      <alignment horizontal="center" vertical="center"/>
    </xf>
    <xf fontId="19608" applyFont="true" borderId="8" applyBorder="true" applyNumberFormat="true" numFmtId="166" fillId="22" applyFill="true">
      <alignment horizontal="center" vertical="center"/>
    </xf>
    <xf fontId="19609" applyFont="true" borderId="8" applyBorder="true" applyNumberFormat="true" numFmtId="166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67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1" fillId="22" applyFill="true">
      <alignment horizontal="center" vertical="center"/>
    </xf>
    <xf fontId="19624" applyFont="true" borderId="8" applyBorder="true" applyNumberFormat="true" numFmtId="167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2" fillId="22" applyFill="true">
      <alignment horizontal="center" vertical="center"/>
    </xf>
    <xf fontId="19658" applyFont="true" borderId="8" applyBorder="true" applyNumberFormat="true" numFmtId="2" fillId="22" applyFill="true">
      <alignment horizontal="center" vertical="center"/>
    </xf>
    <xf fontId="19659" applyFont="true" borderId="8" applyBorder="true" applyNumberFormat="true" numFmtId="165" fillId="19" applyFill="true">
      <alignment horizontal="left" vertical="center"/>
    </xf>
    <xf fontId="19660" applyFont="true" borderId="8" applyBorder="true" applyNumberFormat="true" numFmtId="165" fillId="22" applyFill="true">
      <alignment horizontal="center" vertical="center"/>
    </xf>
    <xf fontId="19661" applyFont="true" borderId="8" applyBorder="true" applyNumberFormat="true" numFmtId="166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" fillId="22" applyFill="true">
      <alignment horizontal="center" vertical="center"/>
    </xf>
    <xf fontId="19668" applyFont="true" borderId="8" applyBorder="true" applyNumberFormat="true" numFmtId="1" fillId="22" applyFill="true">
      <alignment horizontal="center" vertical="center"/>
    </xf>
    <xf fontId="19669" applyFont="true" borderId="8" applyBorder="true" applyNumberFormat="true" numFmtId="165" fillId="22" applyFill="true">
      <alignment horizontal="center" vertical="center"/>
    </xf>
    <xf fontId="19670" applyFont="true" borderId="8" applyBorder="true" applyNumberFormat="true" numFmtId="165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" fillId="22" applyFill="true">
      <alignment horizontal="center" vertical="center"/>
    </xf>
    <xf fontId="19680" applyFont="true" borderId="8" applyBorder="true" applyNumberFormat="true" numFmtId="167" fillId="22" applyFill="true">
      <alignment horizontal="center" vertical="center"/>
    </xf>
    <xf fontId="19681" applyFont="true" borderId="8" applyBorder="true" applyNumberFormat="true" numFmtId="167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" fillId="22" applyFill="true">
      <alignment horizontal="center" vertical="center"/>
    </xf>
    <xf fontId="19684" applyFont="true" borderId="8" applyBorder="true" applyNumberFormat="true" numFmtId="1" fillId="22" applyFill="true">
      <alignment horizontal="center" vertical="center"/>
    </xf>
    <xf fontId="19685" applyFont="true" borderId="8" applyBorder="true" applyNumberFormat="true" numFmtId="167" fillId="22" applyFill="true">
      <alignment horizontal="center" vertical="center"/>
    </xf>
    <xf fontId="19686" applyFont="true" borderId="8" applyBorder="true" applyNumberFormat="true" numFmtId="166" fillId="22" applyFill="true">
      <alignment horizontal="center" vertical="center"/>
    </xf>
    <xf fontId="19687" applyFont="true" borderId="8" applyBorder="true" applyNumberFormat="true" numFmtId="166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67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1" fillId="22" applyFill="true">
      <alignment horizontal="center" vertical="center"/>
    </xf>
    <xf fontId="19702" applyFont="true" borderId="8" applyBorder="true" applyNumberFormat="true" numFmtId="167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2" fillId="22" applyFill="true">
      <alignment horizontal="center" vertical="center"/>
    </xf>
    <xf fontId="19736" applyFont="true" borderId="8" applyBorder="true" applyNumberFormat="true" numFmtId="2" fillId="22" applyFill="true">
      <alignment horizontal="center" vertical="center"/>
    </xf>
    <xf fontId="19737" applyFont="true" borderId="8" applyBorder="true" applyNumberFormat="true" numFmtId="165" fillId="19" applyFill="true">
      <alignment horizontal="left" vertical="center"/>
    </xf>
    <xf fontId="19738" applyFont="true" borderId="8" applyBorder="true" applyNumberFormat="true" numFmtId="165" fillId="22" applyFill="true">
      <alignment horizontal="center" vertical="center"/>
    </xf>
    <xf fontId="19739" applyFont="true" borderId="8" applyBorder="true" applyNumberFormat="true" numFmtId="166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" fillId="22" applyFill="true">
      <alignment horizontal="center" vertical="center"/>
    </xf>
    <xf fontId="19746" applyFont="true" borderId="8" applyBorder="true" applyNumberFormat="true" numFmtId="1" fillId="22" applyFill="true">
      <alignment horizontal="center" vertical="center"/>
    </xf>
    <xf fontId="19747" applyFont="true" borderId="8" applyBorder="true" applyNumberFormat="true" numFmtId="165" fillId="22" applyFill="true">
      <alignment horizontal="center" vertical="center"/>
    </xf>
    <xf fontId="19748" applyFont="true" borderId="8" applyBorder="true" applyNumberFormat="true" numFmtId="165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" fillId="22" applyFill="true">
      <alignment horizontal="center" vertical="center"/>
    </xf>
    <xf fontId="19758" applyFont="true" borderId="8" applyBorder="true" applyNumberFormat="true" numFmtId="167" fillId="22" applyFill="true">
      <alignment horizontal="center" vertical="center"/>
    </xf>
    <xf fontId="19759" applyFont="true" borderId="8" applyBorder="true" applyNumberFormat="true" numFmtId="167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" fillId="22" applyFill="true">
      <alignment horizontal="center" vertical="center"/>
    </xf>
    <xf fontId="19762" applyFont="true" borderId="8" applyBorder="true" applyNumberFormat="true" numFmtId="1" fillId="22" applyFill="true">
      <alignment horizontal="center" vertical="center"/>
    </xf>
    <xf fontId="19763" applyFont="true" borderId="8" applyBorder="true" applyNumberFormat="true" numFmtId="167" fillId="22" applyFill="true">
      <alignment horizontal="center" vertical="center"/>
    </xf>
    <xf fontId="19764" applyFont="true" borderId="8" applyBorder="true" applyNumberFormat="true" numFmtId="166" fillId="22" applyFill="true">
      <alignment horizontal="center" vertical="center"/>
    </xf>
    <xf fontId="19765" applyFont="true" borderId="8" applyBorder="true" applyNumberFormat="true" numFmtId="166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67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1" fillId="22" applyFill="true">
      <alignment horizontal="center" vertical="center"/>
    </xf>
    <xf fontId="19780" applyFont="true" borderId="8" applyBorder="true" applyNumberFormat="true" numFmtId="167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2" fillId="22" applyFill="true">
      <alignment horizontal="center" vertical="center"/>
    </xf>
    <xf fontId="19814" applyFont="true" borderId="8" applyBorder="true" applyNumberFormat="true" numFmtId="2" fillId="22" applyFill="true">
      <alignment horizontal="center" vertical="center"/>
    </xf>
    <xf fontId="19815" applyFont="true" borderId="8" applyBorder="true" applyNumberFormat="true" numFmtId="165" fillId="19" applyFill="true">
      <alignment horizontal="left" vertical="center"/>
    </xf>
    <xf fontId="19816" applyFont="true" borderId="8" applyBorder="true" applyNumberFormat="true" numFmtId="165" fillId="22" applyFill="true">
      <alignment horizontal="center" vertical="center"/>
    </xf>
    <xf fontId="19817" applyFont="true" borderId="8" applyBorder="true" applyNumberFormat="true" numFmtId="166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" fillId="22" applyFill="true">
      <alignment horizontal="center" vertical="center"/>
    </xf>
    <xf fontId="19824" applyFont="true" borderId="8" applyBorder="true" applyNumberFormat="true" numFmtId="1" fillId="22" applyFill="true">
      <alignment horizontal="center" vertical="center"/>
    </xf>
    <xf fontId="19825" applyFont="true" borderId="8" applyBorder="true" applyNumberFormat="true" numFmtId="165" fillId="22" applyFill="true">
      <alignment horizontal="center" vertical="center"/>
    </xf>
    <xf fontId="19826" applyFont="true" borderId="8" applyBorder="true" applyNumberFormat="true" numFmtId="165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" fillId="22" applyFill="true">
      <alignment horizontal="center" vertical="center"/>
    </xf>
    <xf fontId="19836" applyFont="true" borderId="8" applyBorder="true" applyNumberFormat="true" numFmtId="167" fillId="22" applyFill="true">
      <alignment horizontal="center" vertical="center"/>
    </xf>
    <xf fontId="19837" applyFont="true" borderId="8" applyBorder="true" applyNumberFormat="true" numFmtId="167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" fillId="22" applyFill="true">
      <alignment horizontal="center" vertical="center"/>
    </xf>
    <xf fontId="19840" applyFont="true" borderId="8" applyBorder="true" applyNumberFormat="true" numFmtId="1" fillId="22" applyFill="true">
      <alignment horizontal="center" vertical="center"/>
    </xf>
    <xf fontId="19841" applyFont="true" borderId="8" applyBorder="true" applyNumberFormat="true" numFmtId="167" fillId="22" applyFill="true">
      <alignment horizontal="center" vertical="center"/>
    </xf>
    <xf fontId="19842" applyFont="true" borderId="8" applyBorder="true" applyNumberFormat="true" numFmtId="166" fillId="22" applyFill="true">
      <alignment horizontal="center" vertical="center"/>
    </xf>
    <xf fontId="19843" applyFont="true" borderId="8" applyBorder="true" applyNumberFormat="true" numFmtId="166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67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1" fillId="22" applyFill="true">
      <alignment horizontal="center" vertical="center"/>
    </xf>
    <xf fontId="19858" applyFont="true" borderId="8" applyBorder="true" applyNumberFormat="true" numFmtId="167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2" fillId="22" applyFill="true">
      <alignment horizontal="center" vertical="center"/>
    </xf>
    <xf fontId="19892" applyFont="true" borderId="8" applyBorder="true" applyNumberFormat="true" numFmtId="2" fillId="22" applyFill="true">
      <alignment horizontal="center" vertical="center"/>
    </xf>
    <xf fontId="19893" applyFont="true" borderId="8" applyBorder="true" applyNumberFormat="true" numFmtId="165" fillId="19" applyFill="true">
      <alignment horizontal="left" vertical="center"/>
    </xf>
    <xf fontId="19894" applyFont="true" borderId="8" applyBorder="true" applyNumberFormat="true" numFmtId="165" fillId="22" applyFill="true">
      <alignment horizontal="center" vertical="center"/>
    </xf>
    <xf fontId="19895" applyFont="true" borderId="8" applyBorder="true" applyNumberFormat="true" numFmtId="166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" fillId="22" applyFill="true">
      <alignment horizontal="center" vertical="center"/>
    </xf>
    <xf fontId="19902" applyFont="true" borderId="8" applyBorder="true" applyNumberFormat="true" numFmtId="1" fillId="22" applyFill="true">
      <alignment horizontal="center" vertical="center"/>
    </xf>
    <xf fontId="19903" applyFont="true" borderId="8" applyBorder="true" applyNumberFormat="true" numFmtId="165" fillId="22" applyFill="true">
      <alignment horizontal="center" vertical="center"/>
    </xf>
    <xf fontId="19904" applyFont="true" borderId="8" applyBorder="true" applyNumberFormat="true" numFmtId="165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" fillId="22" applyFill="true">
      <alignment horizontal="center" vertical="center"/>
    </xf>
    <xf fontId="19914" applyFont="true" borderId="8" applyBorder="true" applyNumberFormat="true" numFmtId="167" fillId="22" applyFill="true">
      <alignment horizontal="center" vertical="center"/>
    </xf>
    <xf fontId="19915" applyFont="true" borderId="8" applyBorder="true" applyNumberFormat="true" numFmtId="167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" fillId="22" applyFill="true">
      <alignment horizontal="center" vertical="center"/>
    </xf>
    <xf fontId="19918" applyFont="true" borderId="8" applyBorder="true" applyNumberFormat="true" numFmtId="1" fillId="22" applyFill="true">
      <alignment horizontal="center" vertical="center"/>
    </xf>
    <xf fontId="19919" applyFont="true" borderId="8" applyBorder="true" applyNumberFormat="true" numFmtId="167" fillId="22" applyFill="true">
      <alignment horizontal="center" vertical="center"/>
    </xf>
    <xf fontId="19920" applyFont="true" borderId="8" applyBorder="true" applyNumberFormat="true" numFmtId="166" fillId="22" applyFill="true">
      <alignment horizontal="center" vertical="center"/>
    </xf>
    <xf fontId="19921" applyFont="true" borderId="8" applyBorder="true" applyNumberFormat="true" numFmtId="166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67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1" fillId="22" applyFill="true">
      <alignment horizontal="center" vertical="center"/>
    </xf>
    <xf fontId="19936" applyFont="true" borderId="8" applyBorder="true" applyNumberFormat="true" numFmtId="167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2" fillId="22" applyFill="true">
      <alignment horizontal="center" vertical="center"/>
    </xf>
    <xf fontId="19970" applyFont="true" borderId="8" applyBorder="true" applyNumberFormat="true" numFmtId="2" fillId="22" applyFill="true">
      <alignment horizontal="center" vertical="center"/>
    </xf>
    <xf fontId="19971" applyFont="true" borderId="8" applyBorder="true" applyNumberFormat="true" numFmtId="165" fillId="19" applyFill="true">
      <alignment horizontal="left" vertical="center"/>
    </xf>
    <xf fontId="19972" applyFont="true" borderId="8" applyBorder="true" applyNumberFormat="true" numFmtId="165" fillId="22" applyFill="true">
      <alignment horizontal="center" vertical="center"/>
    </xf>
    <xf fontId="19973" applyFont="true" borderId="8" applyBorder="true" applyNumberFormat="true" numFmtId="166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" fillId="22" applyFill="true">
      <alignment horizontal="center" vertical="center"/>
    </xf>
    <xf fontId="19980" applyFont="true" borderId="8" applyBorder="true" applyNumberFormat="true" numFmtId="1" fillId="22" applyFill="true">
      <alignment horizontal="center" vertical="center"/>
    </xf>
    <xf fontId="19981" applyFont="true" borderId="8" applyBorder="true" applyNumberFormat="true" numFmtId="165" fillId="22" applyFill="true">
      <alignment horizontal="center" vertical="center"/>
    </xf>
    <xf fontId="19982" applyFont="true" borderId="8" applyBorder="true" applyNumberFormat="true" numFmtId="165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" fillId="22" applyFill="true">
      <alignment horizontal="center" vertical="center"/>
    </xf>
    <xf fontId="19992" applyFont="true" borderId="8" applyBorder="true" applyNumberFormat="true" numFmtId="167" fillId="22" applyFill="true">
      <alignment horizontal="center" vertical="center"/>
    </xf>
    <xf fontId="19993" applyFont="true" borderId="8" applyBorder="true" applyNumberFormat="true" numFmtId="167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" fillId="22" applyFill="true">
      <alignment horizontal="center" vertical="center"/>
    </xf>
    <xf fontId="19996" applyFont="true" borderId="8" applyBorder="true" applyNumberFormat="true" numFmtId="1" fillId="22" applyFill="true">
      <alignment horizontal="center" vertical="center"/>
    </xf>
    <xf fontId="19997" applyFont="true" borderId="8" applyBorder="true" applyNumberFormat="true" numFmtId="167" fillId="22" applyFill="true">
      <alignment horizontal="center" vertical="center"/>
    </xf>
    <xf fontId="19998" applyFont="true" borderId="8" applyBorder="true" applyNumberFormat="true" numFmtId="166" fillId="22" applyFill="true">
      <alignment horizontal="center" vertical="center"/>
    </xf>
    <xf fontId="19999" applyFont="true" borderId="8" applyBorder="true" applyNumberFormat="true" numFmtId="166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67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1" fillId="22" applyFill="true">
      <alignment horizontal="center" vertical="center"/>
    </xf>
    <xf fontId="20014" applyFont="true" borderId="8" applyBorder="true" applyNumberFormat="true" numFmtId="167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2" fillId="22" applyFill="true">
      <alignment horizontal="center" vertical="center"/>
    </xf>
    <xf fontId="20048" applyFont="true" borderId="8" applyBorder="true" applyNumberFormat="true" numFmtId="2" fillId="22" applyFill="true">
      <alignment horizontal="center" vertical="center"/>
    </xf>
    <xf fontId="20049" applyFont="true" borderId="8" applyBorder="true" applyNumberFormat="true" numFmtId="165" fillId="19" applyFill="true">
      <alignment horizontal="left" vertical="center"/>
    </xf>
    <xf fontId="20050" applyFont="true" borderId="8" applyBorder="true" applyNumberFormat="true" numFmtId="165" fillId="22" applyFill="true">
      <alignment horizontal="center" vertical="center"/>
    </xf>
    <xf fontId="20051" applyFont="true" borderId="8" applyBorder="true" applyNumberFormat="true" numFmtId="166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" fillId="22" applyFill="true">
      <alignment horizontal="center" vertical="center"/>
    </xf>
    <xf fontId="20058" applyFont="true" borderId="8" applyBorder="true" applyNumberFormat="true" numFmtId="1" fillId="22" applyFill="true">
      <alignment horizontal="center" vertical="center"/>
    </xf>
    <xf fontId="20059" applyFont="true" borderId="8" applyBorder="true" applyNumberFormat="true" numFmtId="165" fillId="22" applyFill="true">
      <alignment horizontal="center" vertical="center"/>
    </xf>
    <xf fontId="20060" applyFont="true" borderId="8" applyBorder="true" applyNumberFormat="true" numFmtId="165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" fillId="22" applyFill="true">
      <alignment horizontal="center" vertical="center"/>
    </xf>
    <xf fontId="20070" applyFont="true" borderId="8" applyBorder="true" applyNumberFormat="true" numFmtId="167" fillId="22" applyFill="true">
      <alignment horizontal="center" vertical="center"/>
    </xf>
    <xf fontId="20071" applyFont="true" borderId="8" applyBorder="true" applyNumberFormat="true" numFmtId="167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" fillId="22" applyFill="true">
      <alignment horizontal="center" vertical="center"/>
    </xf>
    <xf fontId="20074" applyFont="true" borderId="8" applyBorder="true" applyNumberFormat="true" numFmtId="1" fillId="22" applyFill="true">
      <alignment horizontal="center" vertical="center"/>
    </xf>
    <xf fontId="20075" applyFont="true" borderId="8" applyBorder="true" applyNumberFormat="true" numFmtId="167" fillId="22" applyFill="true">
      <alignment horizontal="center" vertical="center"/>
    </xf>
    <xf fontId="20076" applyFont="true" borderId="8" applyBorder="true" applyNumberFormat="true" numFmtId="166" fillId="22" applyFill="true">
      <alignment horizontal="center" vertical="center"/>
    </xf>
    <xf fontId="20077" applyFont="true" borderId="8" applyBorder="true" applyNumberFormat="true" numFmtId="166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67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1" fillId="22" applyFill="true">
      <alignment horizontal="center" vertical="center"/>
    </xf>
    <xf fontId="20092" applyFont="true" borderId="8" applyBorder="true" applyNumberFormat="true" numFmtId="167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2" fillId="22" applyFill="true">
      <alignment horizontal="center" vertical="center"/>
    </xf>
    <xf fontId="20126" applyFont="true" borderId="8" applyBorder="true" applyNumberFormat="true" numFmtId="2" fillId="22" applyFill="true">
      <alignment horizontal="center" vertical="center"/>
    </xf>
    <xf fontId="20127" applyFont="true" borderId="8" applyBorder="true" applyNumberFormat="true" numFmtId="165" fillId="19" applyFill="true">
      <alignment horizontal="left" vertical="center"/>
    </xf>
    <xf fontId="20128" applyFont="true" borderId="8" applyBorder="true" applyNumberFormat="true" numFmtId="165" fillId="22" applyFill="true">
      <alignment horizontal="center" vertical="center"/>
    </xf>
    <xf fontId="20129" applyFont="true" borderId="8" applyBorder="true" applyNumberFormat="true" numFmtId="166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" fillId="22" applyFill="true">
      <alignment horizontal="center" vertical="center"/>
    </xf>
    <xf fontId="20136" applyFont="true" borderId="8" applyBorder="true" applyNumberFormat="true" numFmtId="1" fillId="22" applyFill="true">
      <alignment horizontal="center" vertical="center"/>
    </xf>
    <xf fontId="20137" applyFont="true" borderId="8" applyBorder="true" applyNumberFormat="true" numFmtId="165" fillId="22" applyFill="true">
      <alignment horizontal="center" vertical="center"/>
    </xf>
    <xf fontId="20138" applyFont="true" borderId="8" applyBorder="true" applyNumberFormat="true" numFmtId="165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" fillId="22" applyFill="true">
      <alignment horizontal="center" vertical="center"/>
    </xf>
    <xf fontId="20148" applyFont="true" borderId="8" applyBorder="true" applyNumberFormat="true" numFmtId="167" fillId="22" applyFill="true">
      <alignment horizontal="center" vertical="center"/>
    </xf>
    <xf fontId="20149" applyFont="true" borderId="8" applyBorder="true" applyNumberFormat="true" numFmtId="167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" fillId="22" applyFill="true">
      <alignment horizontal="center" vertical="center"/>
    </xf>
    <xf fontId="20152" applyFont="true" borderId="8" applyBorder="true" applyNumberFormat="true" numFmtId="1" fillId="22" applyFill="true">
      <alignment horizontal="center" vertical="center"/>
    </xf>
    <xf fontId="20153" applyFont="true" borderId="8" applyBorder="true" applyNumberFormat="true" numFmtId="167" fillId="22" applyFill="true">
      <alignment horizontal="center" vertical="center"/>
    </xf>
    <xf fontId="20154" applyFont="true" borderId="8" applyBorder="true" applyNumberFormat="true" numFmtId="166" fillId="22" applyFill="true">
      <alignment horizontal="center" vertical="center"/>
    </xf>
    <xf fontId="20155" applyFont="true" borderId="8" applyBorder="true" applyNumberFormat="true" numFmtId="166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67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1" fillId="22" applyFill="true">
      <alignment horizontal="center" vertical="center"/>
    </xf>
    <xf fontId="20170" applyFont="true" borderId="8" applyBorder="true" applyNumberFormat="true" numFmtId="167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2" fillId="22" applyFill="true">
      <alignment horizontal="center" vertical="center"/>
    </xf>
    <xf fontId="20204" applyFont="true" borderId="8" applyBorder="true" applyNumberFormat="true" numFmtId="2" fillId="22" applyFill="true">
      <alignment horizontal="center" vertical="center"/>
    </xf>
    <xf fontId="20205" applyFont="true" borderId="8" applyBorder="true" applyNumberFormat="true" numFmtId="165" fillId="19" applyFill="true">
      <alignment horizontal="left" vertical="center"/>
    </xf>
    <xf fontId="20206" applyFont="true" borderId="8" applyBorder="true" applyNumberFormat="true" numFmtId="165" fillId="22" applyFill="true">
      <alignment horizontal="center" vertical="center"/>
    </xf>
    <xf fontId="20207" applyFont="true" borderId="8" applyBorder="true" applyNumberFormat="true" numFmtId="166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" fillId="22" applyFill="true">
      <alignment horizontal="center" vertical="center"/>
    </xf>
    <xf fontId="20214" applyFont="true" borderId="8" applyBorder="true" applyNumberFormat="true" numFmtId="1" fillId="22" applyFill="true">
      <alignment horizontal="center" vertical="center"/>
    </xf>
    <xf fontId="20215" applyFont="true" borderId="8" applyBorder="true" applyNumberFormat="true" numFmtId="165" fillId="22" applyFill="true">
      <alignment horizontal="center" vertical="center"/>
    </xf>
    <xf fontId="20216" applyFont="true" borderId="8" applyBorder="true" applyNumberFormat="true" numFmtId="165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" fillId="22" applyFill="true">
      <alignment horizontal="center" vertical="center"/>
    </xf>
    <xf fontId="20226" applyFont="true" borderId="8" applyBorder="true" applyNumberFormat="true" numFmtId="167" fillId="22" applyFill="true">
      <alignment horizontal="center" vertical="center"/>
    </xf>
    <xf fontId="20227" applyFont="true" borderId="8" applyBorder="true" applyNumberFormat="true" numFmtId="167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" fillId="22" applyFill="true">
      <alignment horizontal="center" vertical="center"/>
    </xf>
    <xf fontId="20230" applyFont="true" borderId="8" applyBorder="true" applyNumberFormat="true" numFmtId="1" fillId="22" applyFill="true">
      <alignment horizontal="center" vertical="center"/>
    </xf>
    <xf fontId="20231" applyFont="true" borderId="8" applyBorder="true" applyNumberFormat="true" numFmtId="167" fillId="22" applyFill="true">
      <alignment horizontal="center" vertical="center"/>
    </xf>
    <xf fontId="20232" applyFont="true" borderId="8" applyBorder="true" applyNumberFormat="true" numFmtId="166" fillId="22" applyFill="true">
      <alignment horizontal="center" vertical="center"/>
    </xf>
    <xf fontId="20233" applyFont="true" borderId="8" applyBorder="true" applyNumberFormat="true" numFmtId="166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67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1" fillId="22" applyFill="true">
      <alignment horizontal="center" vertical="center"/>
    </xf>
    <xf fontId="20248" applyFont="true" borderId="8" applyBorder="true" applyNumberFormat="true" numFmtId="167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2" fillId="22" applyFill="true">
      <alignment horizontal="center" vertical="center"/>
    </xf>
    <xf fontId="20282" applyFont="true" borderId="8" applyBorder="true" applyNumberFormat="true" numFmtId="2" fillId="22" applyFill="true">
      <alignment horizontal="center" vertical="center"/>
    </xf>
    <xf fontId="20283" applyFont="true" borderId="8" applyBorder="true" applyNumberFormat="true" numFmtId="165" fillId="19" applyFill="true">
      <alignment horizontal="left" vertical="center"/>
    </xf>
    <xf fontId="20284" applyFont="true" borderId="8" applyBorder="true" applyNumberFormat="true" numFmtId="165" fillId="22" applyFill="true">
      <alignment horizontal="center" vertical="center"/>
    </xf>
    <xf fontId="20285" applyFont="true" borderId="8" applyBorder="true" applyNumberFormat="true" numFmtId="166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" fillId="22" applyFill="true">
      <alignment horizontal="center" vertical="center"/>
    </xf>
    <xf fontId="20292" applyFont="true" borderId="8" applyBorder="true" applyNumberFormat="true" numFmtId="1" fillId="22" applyFill="true">
      <alignment horizontal="center" vertical="center"/>
    </xf>
    <xf fontId="20293" applyFont="true" borderId="8" applyBorder="true" applyNumberFormat="true" numFmtId="165" fillId="22" applyFill="true">
      <alignment horizontal="center" vertical="center"/>
    </xf>
    <xf fontId="20294" applyFont="true" borderId="8" applyBorder="true" applyNumberFormat="true" numFmtId="165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" fillId="22" applyFill="true">
      <alignment horizontal="center" vertical="center"/>
    </xf>
    <xf fontId="20304" applyFont="true" borderId="8" applyBorder="true" applyNumberFormat="true" numFmtId="167" fillId="22" applyFill="true">
      <alignment horizontal="center" vertical="center"/>
    </xf>
    <xf fontId="20305" applyFont="true" borderId="8" applyBorder="true" applyNumberFormat="true" numFmtId="167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" fillId="22" applyFill="true">
      <alignment horizontal="center" vertical="center"/>
    </xf>
    <xf fontId="20308" applyFont="true" borderId="8" applyBorder="true" applyNumberFormat="true" numFmtId="1" fillId="22" applyFill="true">
      <alignment horizontal="center" vertical="center"/>
    </xf>
    <xf fontId="20309" applyFont="true" borderId="8" applyBorder="true" applyNumberFormat="true" numFmtId="167" fillId="22" applyFill="true">
      <alignment horizontal="center" vertical="center"/>
    </xf>
    <xf fontId="20310" applyFont="true" borderId="8" applyBorder="true" applyNumberFormat="true" numFmtId="166" fillId="22" applyFill="true">
      <alignment horizontal="center" vertical="center"/>
    </xf>
    <xf fontId="20311" applyFont="true" borderId="8" applyBorder="true" applyNumberFormat="true" numFmtId="166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67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1" fillId="22" applyFill="true">
      <alignment horizontal="center" vertical="center"/>
    </xf>
    <xf fontId="20326" applyFont="true" borderId="8" applyBorder="true" applyNumberFormat="true" numFmtId="167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2" fillId="22" applyFill="true">
      <alignment horizontal="center" vertical="center"/>
    </xf>
    <xf fontId="20360" applyFont="true" borderId="8" applyBorder="true" applyNumberFormat="true" numFmtId="2" fillId="22" applyFill="true">
      <alignment horizontal="center" vertical="center"/>
    </xf>
    <xf fontId="20361" applyFont="true" borderId="8" applyBorder="true" applyNumberFormat="true" numFmtId="165" fillId="19" applyFill="true">
      <alignment horizontal="left" vertical="center"/>
    </xf>
    <xf fontId="20362" applyFont="true" borderId="8" applyBorder="true" applyNumberFormat="true" numFmtId="165" fillId="22" applyFill="true">
      <alignment horizontal="center" vertical="center"/>
    </xf>
    <xf fontId="20363" applyFont="true" borderId="8" applyBorder="true" applyNumberFormat="true" numFmtId="166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" fillId="22" applyFill="true">
      <alignment horizontal="center" vertical="center"/>
    </xf>
    <xf fontId="20370" applyFont="true" borderId="8" applyBorder="true" applyNumberFormat="true" numFmtId="1" fillId="22" applyFill="true">
      <alignment horizontal="center" vertical="center"/>
    </xf>
    <xf fontId="20371" applyFont="true" borderId="8" applyBorder="true" applyNumberFormat="true" numFmtId="165" fillId="22" applyFill="true">
      <alignment horizontal="center" vertical="center"/>
    </xf>
    <xf fontId="20372" applyFont="true" borderId="8" applyBorder="true" applyNumberFormat="true" numFmtId="165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" fillId="22" applyFill="true">
      <alignment horizontal="center" vertical="center"/>
    </xf>
    <xf fontId="20382" applyFont="true" borderId="8" applyBorder="true" applyNumberFormat="true" numFmtId="167" fillId="22" applyFill="true">
      <alignment horizontal="center" vertical="center"/>
    </xf>
    <xf fontId="20383" applyFont="true" borderId="8" applyBorder="true" applyNumberFormat="true" numFmtId="167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" fillId="22" applyFill="true">
      <alignment horizontal="center" vertical="center"/>
    </xf>
    <xf fontId="20386" applyFont="true" borderId="8" applyBorder="true" applyNumberFormat="true" numFmtId="1" fillId="22" applyFill="true">
      <alignment horizontal="center" vertical="center"/>
    </xf>
    <xf fontId="20387" applyFont="true" borderId="8" applyBorder="true" applyNumberFormat="true" numFmtId="167" fillId="22" applyFill="true">
      <alignment horizontal="center" vertical="center"/>
    </xf>
    <xf fontId="20388" applyFont="true" borderId="8" applyBorder="true" applyNumberFormat="true" numFmtId="166" fillId="22" applyFill="true">
      <alignment horizontal="center" vertical="center"/>
    </xf>
    <xf fontId="20389" applyFont="true" borderId="8" applyBorder="true" applyNumberFormat="true" numFmtId="166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67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1" fillId="22" applyFill="true">
      <alignment horizontal="center" vertical="center"/>
    </xf>
    <xf fontId="20404" applyFont="true" borderId="8" applyBorder="true" applyNumberFormat="true" numFmtId="167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2" fillId="22" applyFill="true">
      <alignment horizontal="center" vertical="center"/>
    </xf>
    <xf fontId="20438" applyFont="true" borderId="8" applyBorder="true" applyNumberFormat="true" numFmtId="2" fillId="22" applyFill="true">
      <alignment horizontal="center" vertical="center"/>
    </xf>
    <xf fontId="20439" applyFont="true" borderId="8" applyBorder="true" applyNumberFormat="true" numFmtId="165" fillId="19" applyFill="true">
      <alignment horizontal="left" vertical="center"/>
    </xf>
    <xf fontId="20440" applyFont="true" borderId="8" applyBorder="true" applyNumberFormat="true" numFmtId="165" fillId="22" applyFill="true">
      <alignment horizontal="center" vertical="center"/>
    </xf>
    <xf fontId="20441" applyFont="true" borderId="8" applyBorder="true" applyNumberFormat="true" numFmtId="166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" fillId="22" applyFill="true">
      <alignment horizontal="center" vertical="center"/>
    </xf>
    <xf fontId="20448" applyFont="true" borderId="8" applyBorder="true" applyNumberFormat="true" numFmtId="1" fillId="22" applyFill="true">
      <alignment horizontal="center" vertical="center"/>
    </xf>
    <xf fontId="20449" applyFont="true" borderId="8" applyBorder="true" applyNumberFormat="true" numFmtId="165" fillId="22" applyFill="true">
      <alignment horizontal="center" vertical="center"/>
    </xf>
    <xf fontId="20450" applyFont="true" borderId="8" applyBorder="true" applyNumberFormat="true" numFmtId="165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" fillId="22" applyFill="true">
      <alignment horizontal="center" vertical="center"/>
    </xf>
    <xf fontId="20460" applyFont="true" borderId="8" applyBorder="true" applyNumberFormat="true" numFmtId="167" fillId="22" applyFill="true">
      <alignment horizontal="center" vertical="center"/>
    </xf>
    <xf fontId="20461" applyFont="true" borderId="8" applyBorder="true" applyNumberFormat="true" numFmtId="167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" fillId="22" applyFill="true">
      <alignment horizontal="center" vertical="center"/>
    </xf>
    <xf fontId="20464" applyFont="true" borderId="8" applyBorder="true" applyNumberFormat="true" numFmtId="1" fillId="22" applyFill="true">
      <alignment horizontal="center" vertical="center"/>
    </xf>
    <xf fontId="20465" applyFont="true" borderId="8" applyBorder="true" applyNumberFormat="true" numFmtId="167" fillId="22" applyFill="true">
      <alignment horizontal="center" vertical="center"/>
    </xf>
    <xf fontId="20466" applyFont="true" borderId="8" applyBorder="true" applyNumberFormat="true" numFmtId="166" fillId="22" applyFill="true">
      <alignment horizontal="center" vertical="center"/>
    </xf>
    <xf fontId="20467" applyFont="true" borderId="8" applyBorder="true" applyNumberFormat="true" numFmtId="166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67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1" fillId="22" applyFill="true">
      <alignment horizontal="center" vertical="center"/>
    </xf>
    <xf fontId="20482" applyFont="true" borderId="8" applyBorder="true" applyNumberFormat="true" numFmtId="167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2" fillId="22" applyFill="true">
      <alignment horizontal="center" vertical="center"/>
    </xf>
    <xf fontId="20516" applyFont="true" borderId="8" applyBorder="true" applyNumberFormat="true" numFmtId="2" fillId="22" applyFill="true">
      <alignment horizontal="center" vertical="center"/>
    </xf>
    <xf fontId="20517" applyFont="true" borderId="8" applyBorder="true" applyNumberFormat="true" numFmtId="165" fillId="19" applyFill="true">
      <alignment horizontal="left" vertical="center"/>
    </xf>
    <xf fontId="20518" applyFont="true" borderId="8" applyBorder="true" applyNumberFormat="true" numFmtId="165" fillId="22" applyFill="true">
      <alignment horizontal="center" vertical="center"/>
    </xf>
    <xf fontId="20519" applyFont="true" borderId="8" applyBorder="true" applyNumberFormat="true" numFmtId="166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" fillId="22" applyFill="true">
      <alignment horizontal="center" vertical="center"/>
    </xf>
    <xf fontId="20526" applyFont="true" borderId="8" applyBorder="true" applyNumberFormat="true" numFmtId="1" fillId="22" applyFill="true">
      <alignment horizontal="center" vertical="center"/>
    </xf>
    <xf fontId="20527" applyFont="true" borderId="8" applyBorder="true" applyNumberFormat="true" numFmtId="165" fillId="22" applyFill="true">
      <alignment horizontal="center" vertical="center"/>
    </xf>
    <xf fontId="20528" applyFont="true" borderId="8" applyBorder="true" applyNumberFormat="true" numFmtId="165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" fillId="22" applyFill="true">
      <alignment horizontal="center" vertical="center"/>
    </xf>
    <xf fontId="20538" applyFont="true" borderId="8" applyBorder="true" applyNumberFormat="true" numFmtId="167" fillId="22" applyFill="true">
      <alignment horizontal="center" vertical="center"/>
    </xf>
    <xf fontId="20539" applyFont="true" borderId="8" applyBorder="true" applyNumberFormat="true" numFmtId="167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" fillId="22" applyFill="true">
      <alignment horizontal="center" vertical="center"/>
    </xf>
    <xf fontId="20542" applyFont="true" borderId="8" applyBorder="true" applyNumberFormat="true" numFmtId="1" fillId="22" applyFill="true">
      <alignment horizontal="center" vertical="center"/>
    </xf>
    <xf fontId="20543" applyFont="true" borderId="8" applyBorder="true" applyNumberFormat="true" numFmtId="167" fillId="22" applyFill="true">
      <alignment horizontal="center" vertical="center"/>
    </xf>
    <xf fontId="20544" applyFont="true" borderId="8" applyBorder="true" applyNumberFormat="true" numFmtId="166" fillId="22" applyFill="true">
      <alignment horizontal="center" vertical="center"/>
    </xf>
    <xf fontId="20545" applyFont="true" borderId="8" applyBorder="true" applyNumberFormat="true" numFmtId="166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67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1" fillId="22" applyFill="true">
      <alignment horizontal="center" vertical="center"/>
    </xf>
    <xf fontId="20560" applyFont="true" borderId="8" applyBorder="true" applyNumberFormat="true" numFmtId="167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2" fillId="22" applyFill="true">
      <alignment horizontal="center" vertical="center"/>
    </xf>
    <xf fontId="20594" applyFont="true" borderId="8" applyBorder="true" applyNumberFormat="true" numFmtId="2" fillId="22" applyFill="true">
      <alignment horizontal="center" vertical="center"/>
    </xf>
    <xf fontId="20595" applyFont="true" borderId="8" applyBorder="true" applyNumberFormat="true" numFmtId="165" fillId="19" applyFill="true">
      <alignment horizontal="left" vertical="center"/>
    </xf>
    <xf fontId="20596" applyFont="true" borderId="8" applyBorder="true" applyNumberFormat="true" numFmtId="165" fillId="22" applyFill="true">
      <alignment horizontal="center" vertical="center"/>
    </xf>
    <xf fontId="20597" applyFont="true" borderId="8" applyBorder="true" applyNumberFormat="true" numFmtId="166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" fillId="22" applyFill="true">
      <alignment horizontal="center" vertical="center"/>
    </xf>
    <xf fontId="20604" applyFont="true" borderId="8" applyBorder="true" applyNumberFormat="true" numFmtId="1" fillId="22" applyFill="true">
      <alignment horizontal="center" vertical="center"/>
    </xf>
    <xf fontId="20605" applyFont="true" borderId="8" applyBorder="true" applyNumberFormat="true" numFmtId="165" fillId="22" applyFill="true">
      <alignment horizontal="center" vertical="center"/>
    </xf>
    <xf fontId="20606" applyFont="true" borderId="8" applyBorder="true" applyNumberFormat="true" numFmtId="165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" fillId="22" applyFill="true">
      <alignment horizontal="center" vertical="center"/>
    </xf>
    <xf fontId="20616" applyFont="true" borderId="8" applyBorder="true" applyNumberFormat="true" numFmtId="167" fillId="22" applyFill="true">
      <alignment horizontal="center" vertical="center"/>
    </xf>
    <xf fontId="20617" applyFont="true" borderId="8" applyBorder="true" applyNumberFormat="true" numFmtId="167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" fillId="22" applyFill="true">
      <alignment horizontal="center" vertical="center"/>
    </xf>
    <xf fontId="20620" applyFont="true" borderId="8" applyBorder="true" applyNumberFormat="true" numFmtId="1" fillId="22" applyFill="true">
      <alignment horizontal="center" vertical="center"/>
    </xf>
    <xf fontId="20621" applyFont="true" borderId="8" applyBorder="true" applyNumberFormat="true" numFmtId="167" fillId="22" applyFill="true">
      <alignment horizontal="center" vertical="center"/>
    </xf>
    <xf fontId="20622" applyFont="true" borderId="8" applyBorder="true" applyNumberFormat="true" numFmtId="166" fillId="22" applyFill="true">
      <alignment horizontal="center" vertical="center"/>
    </xf>
    <xf fontId="20623" applyFont="true" borderId="8" applyBorder="true" applyNumberFormat="true" numFmtId="166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67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1" fillId="22" applyFill="true">
      <alignment horizontal="center" vertical="center"/>
    </xf>
    <xf fontId="20638" applyFont="true" borderId="8" applyBorder="true" applyNumberFormat="true" numFmtId="167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2" fillId="22" applyFill="true">
      <alignment horizontal="center" vertical="center"/>
    </xf>
    <xf fontId="20672" applyFont="true" borderId="8" applyBorder="true" applyNumberFormat="true" numFmtId="2" fillId="22" applyFill="true">
      <alignment horizontal="center" vertical="center"/>
    </xf>
    <xf fontId="20673" applyFont="true" borderId="8" applyBorder="true" applyNumberFormat="true" numFmtId="165" fillId="19" applyFill="true">
      <alignment horizontal="left" vertical="center"/>
    </xf>
    <xf fontId="20674" applyFont="true" borderId="8" applyBorder="true" applyNumberFormat="true" numFmtId="165" fillId="22" applyFill="true">
      <alignment horizontal="center" vertical="center"/>
    </xf>
    <xf fontId="20675" applyFont="true" borderId="8" applyBorder="true" applyNumberFormat="true" numFmtId="166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" fillId="22" applyFill="true">
      <alignment horizontal="center" vertical="center"/>
    </xf>
    <xf fontId="20682" applyFont="true" borderId="8" applyBorder="true" applyNumberFormat="true" numFmtId="1" fillId="22" applyFill="true">
      <alignment horizontal="center" vertical="center"/>
    </xf>
    <xf fontId="20683" applyFont="true" borderId="8" applyBorder="true" applyNumberFormat="true" numFmtId="165" fillId="22" applyFill="true">
      <alignment horizontal="center" vertical="center"/>
    </xf>
    <xf fontId="20684" applyFont="true" borderId="8" applyBorder="true" applyNumberFormat="true" numFmtId="165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" fillId="22" applyFill="true">
      <alignment horizontal="center" vertical="center"/>
    </xf>
    <xf fontId="20694" applyFont="true" borderId="8" applyBorder="true" applyNumberFormat="true" numFmtId="167" fillId="22" applyFill="true">
      <alignment horizontal="center" vertical="center"/>
    </xf>
    <xf fontId="20695" applyFont="true" borderId="8" applyBorder="true" applyNumberFormat="true" numFmtId="167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" fillId="22" applyFill="true">
      <alignment horizontal="center" vertical="center"/>
    </xf>
    <xf fontId="20698" applyFont="true" borderId="8" applyBorder="true" applyNumberFormat="true" numFmtId="1" fillId="22" applyFill="true">
      <alignment horizontal="center" vertical="center"/>
    </xf>
    <xf fontId="20699" applyFont="true" borderId="8" applyBorder="true" applyNumberFormat="true" numFmtId="167" fillId="22" applyFill="true">
      <alignment horizontal="center" vertical="center"/>
    </xf>
    <xf fontId="20700" applyFont="true" borderId="8" applyBorder="true" applyNumberFormat="true" numFmtId="166" fillId="22" applyFill="true">
      <alignment horizontal="center" vertical="center"/>
    </xf>
    <xf fontId="20701" applyFont="true" borderId="8" applyBorder="true" applyNumberFormat="true" numFmtId="166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67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1" fillId="22" applyFill="true">
      <alignment horizontal="center" vertical="center"/>
    </xf>
    <xf fontId="20716" applyFont="true" borderId="8" applyBorder="true" applyNumberFormat="true" numFmtId="167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2" fillId="22" applyFill="true">
      <alignment horizontal="center" vertical="center"/>
    </xf>
    <xf fontId="20750" applyFont="true" borderId="8" applyBorder="true" applyNumberFormat="true" numFmtId="2" fillId="22" applyFill="true">
      <alignment horizontal="center" vertical="center"/>
    </xf>
    <xf fontId="20751" applyFont="true" borderId="8" applyBorder="true" applyNumberFormat="true" numFmtId="165" fillId="19" applyFill="true">
      <alignment horizontal="left" vertical="center"/>
    </xf>
    <xf fontId="20752" applyFont="true" borderId="8" applyBorder="true" applyNumberFormat="true" numFmtId="165" fillId="22" applyFill="true">
      <alignment horizontal="center" vertical="center"/>
    </xf>
    <xf fontId="20753" applyFont="true" borderId="8" applyBorder="true" applyNumberFormat="true" numFmtId="166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" fillId="22" applyFill="true">
      <alignment horizontal="center" vertical="center"/>
    </xf>
    <xf fontId="20760" applyFont="true" borderId="8" applyBorder="true" applyNumberFormat="true" numFmtId="1" fillId="22" applyFill="true">
      <alignment horizontal="center" vertical="center"/>
    </xf>
    <xf fontId="20761" applyFont="true" borderId="8" applyBorder="true" applyNumberFormat="true" numFmtId="165" fillId="22" applyFill="true">
      <alignment horizontal="center" vertical="center"/>
    </xf>
    <xf fontId="20762" applyFont="true" borderId="8" applyBorder="true" applyNumberFormat="true" numFmtId="165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" fillId="22" applyFill="true">
      <alignment horizontal="center" vertical="center"/>
    </xf>
    <xf fontId="20772" applyFont="true" borderId="8" applyBorder="true" applyNumberFormat="true" numFmtId="167" fillId="22" applyFill="true">
      <alignment horizontal="center" vertical="center"/>
    </xf>
    <xf fontId="20773" applyFont="true" borderId="8" applyBorder="true" applyNumberFormat="true" numFmtId="167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" fillId="22" applyFill="true">
      <alignment horizontal="center" vertical="center"/>
    </xf>
    <xf fontId="20776" applyFont="true" borderId="8" applyBorder="true" applyNumberFormat="true" numFmtId="1" fillId="22" applyFill="true">
      <alignment horizontal="center" vertical="center"/>
    </xf>
    <xf fontId="20777" applyFont="true" borderId="8" applyBorder="true" applyNumberFormat="true" numFmtId="167" fillId="22" applyFill="true">
      <alignment horizontal="center" vertical="center"/>
    </xf>
    <xf fontId="20778" applyFont="true" borderId="8" applyBorder="true" applyNumberFormat="true" numFmtId="166" fillId="22" applyFill="true">
      <alignment horizontal="center" vertical="center"/>
    </xf>
    <xf fontId="20779" applyFont="true" borderId="8" applyBorder="true" applyNumberFormat="true" numFmtId="166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67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1" fillId="22" applyFill="true">
      <alignment horizontal="center" vertical="center"/>
    </xf>
    <xf fontId="20794" applyFont="true" borderId="8" applyBorder="true" applyNumberFormat="true" numFmtId="167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2" fillId="22" applyFill="true">
      <alignment horizontal="center" vertical="center"/>
    </xf>
    <xf fontId="20828" applyFont="true" borderId="8" applyBorder="true" applyNumberFormat="true" numFmtId="2" fillId="22" applyFill="true">
      <alignment horizontal="center" vertical="center"/>
    </xf>
    <xf fontId="20829" applyFont="true" borderId="8" applyBorder="true" applyNumberFormat="true" numFmtId="165" fillId="19" applyFill="true">
      <alignment horizontal="left" vertical="center"/>
    </xf>
    <xf fontId="20830" applyFont="true" borderId="8" applyBorder="true" applyNumberFormat="true" numFmtId="165" fillId="22" applyFill="true">
      <alignment horizontal="center" vertical="center"/>
    </xf>
    <xf fontId="20831" applyFont="true" borderId="8" applyBorder="true" applyNumberFormat="true" numFmtId="166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" fillId="22" applyFill="true">
      <alignment horizontal="center" vertical="center"/>
    </xf>
    <xf fontId="20838" applyFont="true" borderId="8" applyBorder="true" applyNumberFormat="true" numFmtId="1" fillId="22" applyFill="true">
      <alignment horizontal="center" vertical="center"/>
    </xf>
    <xf fontId="20839" applyFont="true" borderId="8" applyBorder="true" applyNumberFormat="true" numFmtId="165" fillId="22" applyFill="true">
      <alignment horizontal="center" vertical="center"/>
    </xf>
    <xf fontId="20840" applyFont="true" borderId="8" applyBorder="true" applyNumberFormat="true" numFmtId="165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" fillId="22" applyFill="true">
      <alignment horizontal="center" vertical="center"/>
    </xf>
    <xf fontId="20850" applyFont="true" borderId="8" applyBorder="true" applyNumberFormat="true" numFmtId="167" fillId="22" applyFill="true">
      <alignment horizontal="center" vertical="center"/>
    </xf>
    <xf fontId="20851" applyFont="true" borderId="8" applyBorder="true" applyNumberFormat="true" numFmtId="167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" fillId="22" applyFill="true">
      <alignment horizontal="center" vertical="center"/>
    </xf>
    <xf fontId="20854" applyFont="true" borderId="8" applyBorder="true" applyNumberFormat="true" numFmtId="1" fillId="22" applyFill="true">
      <alignment horizontal="center" vertical="center"/>
    </xf>
    <xf fontId="20855" applyFont="true" borderId="8" applyBorder="true" applyNumberFormat="true" numFmtId="167" fillId="22" applyFill="true">
      <alignment horizontal="center" vertical="center"/>
    </xf>
    <xf fontId="20856" applyFont="true" borderId="8" applyBorder="true" applyNumberFormat="true" numFmtId="166" fillId="22" applyFill="true">
      <alignment horizontal="center" vertical="center"/>
    </xf>
    <xf fontId="20857" applyFont="true" borderId="8" applyBorder="true" applyNumberFormat="true" numFmtId="166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67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1" fillId="22" applyFill="true">
      <alignment horizontal="center" vertical="center"/>
    </xf>
    <xf fontId="20872" applyFont="true" borderId="8" applyBorder="true" applyNumberFormat="true" numFmtId="167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2" fillId="22" applyFill="true">
      <alignment horizontal="center" vertical="center"/>
    </xf>
    <xf fontId="20906" applyFont="true" borderId="8" applyBorder="true" applyNumberFormat="true" numFmtId="2" fillId="22" applyFill="true">
      <alignment horizontal="center" vertical="center"/>
    </xf>
    <xf fontId="20907" applyFont="true" borderId="8" applyBorder="true" applyNumberFormat="true" numFmtId="165" fillId="19" applyFill="true">
      <alignment horizontal="left" vertical="center"/>
    </xf>
    <xf fontId="20908" applyFont="true" borderId="8" applyBorder="true" applyNumberFormat="true" numFmtId="165" fillId="22" applyFill="true">
      <alignment horizontal="center" vertical="center"/>
    </xf>
    <xf fontId="20909" applyFont="true" borderId="8" applyBorder="true" applyNumberFormat="true" numFmtId="166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" fillId="22" applyFill="true">
      <alignment horizontal="center" vertical="center"/>
    </xf>
    <xf fontId="20916" applyFont="true" borderId="8" applyBorder="true" applyNumberFormat="true" numFmtId="1" fillId="22" applyFill="true">
      <alignment horizontal="center" vertical="center"/>
    </xf>
    <xf fontId="20917" applyFont="true" borderId="8" applyBorder="true" applyNumberFormat="true" numFmtId="165" fillId="22" applyFill="true">
      <alignment horizontal="center" vertical="center"/>
    </xf>
    <xf fontId="20918" applyFont="true" borderId="8" applyBorder="true" applyNumberFormat="true" numFmtId="165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" fillId="22" applyFill="true">
      <alignment horizontal="center" vertical="center"/>
    </xf>
    <xf fontId="20928" applyFont="true" borderId="8" applyBorder="true" applyNumberFormat="true" numFmtId="167" fillId="22" applyFill="true">
      <alignment horizontal="center" vertical="center"/>
    </xf>
    <xf fontId="20929" applyFont="true" borderId="8" applyBorder="true" applyNumberFormat="true" numFmtId="167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" fillId="22" applyFill="true">
      <alignment horizontal="center" vertical="center"/>
    </xf>
    <xf fontId="20932" applyFont="true" borderId="8" applyBorder="true" applyNumberFormat="true" numFmtId="1" fillId="22" applyFill="true">
      <alignment horizontal="center" vertical="center"/>
    </xf>
    <xf fontId="20933" applyFont="true" borderId="8" applyBorder="true" applyNumberFormat="true" numFmtId="167" fillId="22" applyFill="true">
      <alignment horizontal="center" vertical="center"/>
    </xf>
    <xf fontId="20934" applyFont="true" borderId="8" applyBorder="true" applyNumberFormat="true" numFmtId="166" fillId="22" applyFill="true">
      <alignment horizontal="center" vertical="center"/>
    </xf>
    <xf fontId="20935" applyFont="true" borderId="8" applyBorder="true" applyNumberFormat="true" numFmtId="166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67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1" fillId="22" applyFill="true">
      <alignment horizontal="center" vertical="center"/>
    </xf>
    <xf fontId="20950" applyFont="true" borderId="8" applyBorder="true" applyNumberFormat="true" numFmtId="167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2" fillId="22" applyFill="true">
      <alignment horizontal="center" vertical="center"/>
    </xf>
    <xf fontId="20984" applyFont="true" borderId="8" applyBorder="true" applyNumberFormat="true" numFmtId="2" fillId="22" applyFill="true">
      <alignment horizontal="center" vertical="center"/>
    </xf>
    <xf fontId="20985" applyFont="true" borderId="8" applyBorder="true" applyNumberFormat="true" numFmtId="165" fillId="19" applyFill="true">
      <alignment horizontal="left" vertical="center"/>
    </xf>
    <xf fontId="20986" applyFont="true" borderId="8" applyBorder="true" applyNumberFormat="true" numFmtId="165" fillId="22" applyFill="true">
      <alignment horizontal="center" vertical="center"/>
    </xf>
    <xf fontId="20987" applyFont="true" borderId="8" applyBorder="true" applyNumberFormat="true" numFmtId="166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" fillId="22" applyFill="true">
      <alignment horizontal="center" vertical="center"/>
    </xf>
    <xf fontId="20994" applyFont="true" borderId="8" applyBorder="true" applyNumberFormat="true" numFmtId="1" fillId="22" applyFill="true">
      <alignment horizontal="center" vertical="center"/>
    </xf>
    <xf fontId="20995" applyFont="true" borderId="8" applyBorder="true" applyNumberFormat="true" numFmtId="165" fillId="22" applyFill="true">
      <alignment horizontal="center" vertical="center"/>
    </xf>
    <xf fontId="20996" applyFont="true" borderId="8" applyBorder="true" applyNumberFormat="true" numFmtId="165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" fillId="22" applyFill="true">
      <alignment horizontal="center" vertical="center"/>
    </xf>
    <xf fontId="21006" applyFont="true" borderId="8" applyBorder="true" applyNumberFormat="true" numFmtId="167" fillId="22" applyFill="true">
      <alignment horizontal="center" vertical="center"/>
    </xf>
    <xf fontId="21007" applyFont="true" borderId="8" applyBorder="true" applyNumberFormat="true" numFmtId="167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" fillId="22" applyFill="true">
      <alignment horizontal="center" vertical="center"/>
    </xf>
    <xf fontId="21010" applyFont="true" borderId="8" applyBorder="true" applyNumberFormat="true" numFmtId="1" fillId="22" applyFill="true">
      <alignment horizontal="center" vertical="center"/>
    </xf>
    <xf fontId="21011" applyFont="true" borderId="8" applyBorder="true" applyNumberFormat="true" numFmtId="167" fillId="22" applyFill="true">
      <alignment horizontal="center" vertical="center"/>
    </xf>
    <xf fontId="21012" applyFont="true" borderId="8" applyBorder="true" applyNumberFormat="true" numFmtId="166" fillId="22" applyFill="true">
      <alignment horizontal="center" vertical="center"/>
    </xf>
    <xf fontId="21013" applyFont="true" borderId="8" applyBorder="true" applyNumberFormat="true" numFmtId="166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67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1" fillId="22" applyFill="true">
      <alignment horizontal="center" vertical="center"/>
    </xf>
    <xf fontId="21028" applyFont="true" borderId="8" applyBorder="true" applyNumberFormat="true" numFmtId="167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2" fillId="22" applyFill="true">
      <alignment horizontal="center" vertical="center"/>
    </xf>
    <xf fontId="21062" applyFont="true" borderId="8" applyBorder="true" applyNumberFormat="true" numFmtId="2" fillId="22" applyFill="true">
      <alignment horizontal="center" vertical="center"/>
    </xf>
    <xf fontId="21063" applyFont="true" borderId="8" applyBorder="true" applyNumberFormat="true" numFmtId="165" fillId="19" applyFill="true">
      <alignment horizontal="left" vertical="center"/>
    </xf>
    <xf fontId="21064" applyFont="true" borderId="8" applyBorder="true" applyNumberFormat="true" numFmtId="165" fillId="22" applyFill="true">
      <alignment horizontal="center" vertical="center"/>
    </xf>
    <xf fontId="21065" applyFont="true" borderId="8" applyBorder="true" applyNumberFormat="true" numFmtId="166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" fillId="22" applyFill="true">
      <alignment horizontal="center" vertical="center"/>
    </xf>
    <xf fontId="21072" applyFont="true" borderId="8" applyBorder="true" applyNumberFormat="true" numFmtId="1" fillId="22" applyFill="true">
      <alignment horizontal="center" vertical="center"/>
    </xf>
    <xf fontId="21073" applyFont="true" borderId="8" applyBorder="true" applyNumberFormat="true" numFmtId="165" fillId="22" applyFill="true">
      <alignment horizontal="center" vertical="center"/>
    </xf>
    <xf fontId="21074" applyFont="true" borderId="8" applyBorder="true" applyNumberFormat="true" numFmtId="165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" fillId="22" applyFill="true">
      <alignment horizontal="center" vertical="center"/>
    </xf>
    <xf fontId="21084" applyFont="true" borderId="8" applyBorder="true" applyNumberFormat="true" numFmtId="167" fillId="22" applyFill="true">
      <alignment horizontal="center" vertical="center"/>
    </xf>
    <xf fontId="21085" applyFont="true" borderId="8" applyBorder="true" applyNumberFormat="true" numFmtId="167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" fillId="22" applyFill="true">
      <alignment horizontal="center" vertical="center"/>
    </xf>
    <xf fontId="21088" applyFont="true" borderId="8" applyBorder="true" applyNumberFormat="true" numFmtId="1" fillId="22" applyFill="true">
      <alignment horizontal="center" vertical="center"/>
    </xf>
    <xf fontId="21089" applyFont="true" borderId="8" applyBorder="true" applyNumberFormat="true" numFmtId="167" fillId="22" applyFill="true">
      <alignment horizontal="center" vertical="center"/>
    </xf>
    <xf fontId="21090" applyFont="true" borderId="8" applyBorder="true" applyNumberFormat="true" numFmtId="166" fillId="22" applyFill="true">
      <alignment horizontal="center" vertical="center"/>
    </xf>
    <xf fontId="21091" applyFont="true" borderId="8" applyBorder="true" applyNumberFormat="true" numFmtId="166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67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1" fillId="22" applyFill="true">
      <alignment horizontal="center" vertical="center"/>
    </xf>
    <xf fontId="21106" applyFont="true" borderId="8" applyBorder="true" applyNumberFormat="true" numFmtId="167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2" fillId="22" applyFill="true">
      <alignment horizontal="center" vertical="center"/>
    </xf>
    <xf fontId="21140" applyFont="true" borderId="8" applyBorder="true" applyNumberFormat="true" numFmtId="2" fillId="22" applyFill="true">
      <alignment horizontal="center" vertical="center"/>
    </xf>
    <xf fontId="21141" applyFont="true" borderId="8" applyBorder="true" applyNumberFormat="true" numFmtId="165" fillId="19" applyFill="true">
      <alignment horizontal="left" vertical="center"/>
    </xf>
    <xf fontId="21142" applyFont="true" borderId="8" applyBorder="true" applyNumberFormat="true" numFmtId="165" fillId="22" applyFill="true">
      <alignment horizontal="center" vertical="center"/>
    </xf>
    <xf fontId="21143" applyFont="true" borderId="8" applyBorder="true" applyNumberFormat="true" numFmtId="166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" fillId="22" applyFill="true">
      <alignment horizontal="center" vertical="center"/>
    </xf>
    <xf fontId="21150" applyFont="true" borderId="8" applyBorder="true" applyNumberFormat="true" numFmtId="1" fillId="22" applyFill="true">
      <alignment horizontal="center" vertical="center"/>
    </xf>
    <xf fontId="21151" applyFont="true" borderId="8" applyBorder="true" applyNumberFormat="true" numFmtId="165" fillId="22" applyFill="true">
      <alignment horizontal="center" vertical="center"/>
    </xf>
    <xf fontId="21152" applyFont="true" borderId="8" applyBorder="true" applyNumberFormat="true" numFmtId="165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" fillId="22" applyFill="true">
      <alignment horizontal="center" vertical="center"/>
    </xf>
    <xf fontId="21162" applyFont="true" borderId="8" applyBorder="true" applyNumberFormat="true" numFmtId="167" fillId="22" applyFill="true">
      <alignment horizontal="center" vertical="center"/>
    </xf>
    <xf fontId="21163" applyFont="true" borderId="8" applyBorder="true" applyNumberFormat="true" numFmtId="167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" fillId="22" applyFill="true">
      <alignment horizontal="center" vertical="center"/>
    </xf>
    <xf fontId="21166" applyFont="true" borderId="8" applyBorder="true" applyNumberFormat="true" numFmtId="1" fillId="22" applyFill="true">
      <alignment horizontal="center" vertical="center"/>
    </xf>
    <xf fontId="21167" applyFont="true" borderId="8" applyBorder="true" applyNumberFormat="true" numFmtId="167" fillId="22" applyFill="true">
      <alignment horizontal="center" vertical="center"/>
    </xf>
    <xf fontId="21168" applyFont="true" borderId="8" applyBorder="true" applyNumberFormat="true" numFmtId="166" fillId="22" applyFill="true">
      <alignment horizontal="center" vertical="center"/>
    </xf>
    <xf fontId="21169" applyFont="true" borderId="8" applyBorder="true" applyNumberFormat="true" numFmtId="166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67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1" fillId="22" applyFill="true">
      <alignment horizontal="center" vertical="center"/>
    </xf>
    <xf fontId="21184" applyFont="true" borderId="8" applyBorder="true" applyNumberFormat="true" numFmtId="167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2" fillId="22" applyFill="true">
      <alignment horizontal="center" vertical="center"/>
    </xf>
    <xf fontId="21218" applyFont="true" borderId="8" applyBorder="true" applyNumberFormat="true" numFmtId="2" fillId="22" applyFill="true">
      <alignment horizontal="center" vertical="center"/>
    </xf>
    <xf fontId="21219" applyFont="true" borderId="8" applyBorder="true" applyNumberFormat="true" numFmtId="165" fillId="19" applyFill="true">
      <alignment horizontal="left" vertical="center"/>
    </xf>
    <xf fontId="21220" applyFont="true" borderId="8" applyBorder="true" applyNumberFormat="true" numFmtId="165" fillId="22" applyFill="true">
      <alignment horizontal="center" vertical="center"/>
    </xf>
    <xf fontId="21221" applyFont="true" borderId="8" applyBorder="true" applyNumberFormat="true" numFmtId="166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" fillId="22" applyFill="true">
      <alignment horizontal="center" vertical="center"/>
    </xf>
    <xf fontId="21228" applyFont="true" borderId="8" applyBorder="true" applyNumberFormat="true" numFmtId="1" fillId="22" applyFill="true">
      <alignment horizontal="center" vertical="center"/>
    </xf>
    <xf fontId="21229" applyFont="true" borderId="8" applyBorder="true" applyNumberFormat="true" numFmtId="165" fillId="22" applyFill="true">
      <alignment horizontal="center" vertical="center"/>
    </xf>
    <xf fontId="21230" applyFont="true" borderId="8" applyBorder="true" applyNumberFormat="true" numFmtId="165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" fillId="22" applyFill="true">
      <alignment horizontal="center" vertical="center"/>
    </xf>
    <xf fontId="21240" applyFont="true" borderId="8" applyBorder="true" applyNumberFormat="true" numFmtId="167" fillId="22" applyFill="true">
      <alignment horizontal="center" vertical="center"/>
    </xf>
    <xf fontId="21241" applyFont="true" borderId="8" applyBorder="true" applyNumberFormat="true" numFmtId="167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" fillId="22" applyFill="true">
      <alignment horizontal="center" vertical="center"/>
    </xf>
    <xf fontId="21244" applyFont="true" borderId="8" applyBorder="true" applyNumberFormat="true" numFmtId="1" fillId="22" applyFill="true">
      <alignment horizontal="center" vertical="center"/>
    </xf>
    <xf fontId="21245" applyFont="true" borderId="8" applyBorder="true" applyNumberFormat="true" numFmtId="167" fillId="22" applyFill="true">
      <alignment horizontal="center" vertical="center"/>
    </xf>
    <xf fontId="21246" applyFont="true" borderId="8" applyBorder="true" applyNumberFormat="true" numFmtId="166" fillId="22" applyFill="true">
      <alignment horizontal="center" vertical="center"/>
    </xf>
    <xf fontId="21247" applyFont="true" borderId="8" applyBorder="true" applyNumberFormat="true" numFmtId="166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67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1" fillId="22" applyFill="true">
      <alignment horizontal="center" vertical="center"/>
    </xf>
    <xf fontId="21262" applyFont="true" borderId="8" applyBorder="true" applyNumberFormat="true" numFmtId="167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2" fillId="22" applyFill="true">
      <alignment horizontal="center" vertical="center"/>
    </xf>
    <xf fontId="21296" applyFont="true" borderId="8" applyBorder="true" applyNumberFormat="true" numFmtId="2" fillId="22" applyFill="true">
      <alignment horizontal="center" vertical="center"/>
    </xf>
    <xf fontId="21297" applyFont="true" borderId="8" applyBorder="true" applyNumberFormat="true" numFmtId="165" fillId="19" applyFill="true">
      <alignment horizontal="left" vertical="center"/>
    </xf>
    <xf fontId="21298" applyFont="true" borderId="8" applyBorder="true" applyNumberFormat="true" numFmtId="165" fillId="22" applyFill="true">
      <alignment horizontal="center" vertical="center"/>
    </xf>
    <xf fontId="21299" applyFont="true" borderId="8" applyBorder="true" applyNumberFormat="true" numFmtId="166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" fillId="22" applyFill="true">
      <alignment horizontal="center" vertical="center"/>
    </xf>
    <xf fontId="21306" applyFont="true" borderId="8" applyBorder="true" applyNumberFormat="true" numFmtId="1" fillId="22" applyFill="true">
      <alignment horizontal="center" vertical="center"/>
    </xf>
    <xf fontId="21307" applyFont="true" borderId="8" applyBorder="true" applyNumberFormat="true" numFmtId="165" fillId="22" applyFill="true">
      <alignment horizontal="center" vertical="center"/>
    </xf>
    <xf fontId="21308" applyFont="true" borderId="8" applyBorder="true" applyNumberFormat="true" numFmtId="165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" fillId="22" applyFill="true">
      <alignment horizontal="center" vertical="center"/>
    </xf>
    <xf fontId="21318" applyFont="true" borderId="8" applyBorder="true" applyNumberFormat="true" numFmtId="167" fillId="22" applyFill="true">
      <alignment horizontal="center" vertical="center"/>
    </xf>
    <xf fontId="21319" applyFont="true" borderId="8" applyBorder="true" applyNumberFormat="true" numFmtId="167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" fillId="22" applyFill="true">
      <alignment horizontal="center" vertical="center"/>
    </xf>
    <xf fontId="21322" applyFont="true" borderId="8" applyBorder="true" applyNumberFormat="true" numFmtId="1" fillId="22" applyFill="true">
      <alignment horizontal="center" vertical="center"/>
    </xf>
    <xf fontId="21323" applyFont="true" borderId="8" applyBorder="true" applyNumberFormat="true" numFmtId="167" fillId="22" applyFill="true">
      <alignment horizontal="center" vertical="center"/>
    </xf>
    <xf fontId="21324" applyFont="true" borderId="8" applyBorder="true" applyNumberFormat="true" numFmtId="166" fillId="22" applyFill="true">
      <alignment horizontal="center" vertical="center"/>
    </xf>
    <xf fontId="21325" applyFont="true" borderId="8" applyBorder="true" applyNumberFormat="true" numFmtId="166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67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1" fillId="22" applyFill="true">
      <alignment horizontal="center" vertical="center"/>
    </xf>
    <xf fontId="21340" applyFont="true" borderId="8" applyBorder="true" applyNumberFormat="true" numFmtId="167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2" fillId="22" applyFill="true">
      <alignment horizontal="center" vertical="center"/>
    </xf>
    <xf fontId="21374" applyFont="true" borderId="8" applyBorder="true" applyNumberFormat="true" numFmtId="2" fillId="22" applyFill="true">
      <alignment horizontal="center" vertical="center"/>
    </xf>
    <xf fontId="21375" applyFont="true" borderId="8" applyBorder="true" applyNumberFormat="true" numFmtId="165" fillId="19" applyFill="true">
      <alignment horizontal="left" vertical="center"/>
    </xf>
    <xf fontId="21376" applyFont="true" borderId="8" applyBorder="true" applyNumberFormat="true" numFmtId="165" fillId="22" applyFill="true">
      <alignment horizontal="center" vertical="center"/>
    </xf>
    <xf fontId="21377" applyFont="true" borderId="8" applyBorder="true" applyNumberFormat="true" numFmtId="166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" fillId="22" applyFill="true">
      <alignment horizontal="center" vertical="center"/>
    </xf>
    <xf fontId="21384" applyFont="true" borderId="8" applyBorder="true" applyNumberFormat="true" numFmtId="1" fillId="22" applyFill="true">
      <alignment horizontal="center" vertical="center"/>
    </xf>
    <xf fontId="21385" applyFont="true" borderId="8" applyBorder="true" applyNumberFormat="true" numFmtId="165" fillId="22" applyFill="true">
      <alignment horizontal="center" vertical="center"/>
    </xf>
    <xf fontId="21386" applyFont="true" borderId="8" applyBorder="true" applyNumberFormat="true" numFmtId="165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" fillId="22" applyFill="true">
      <alignment horizontal="center" vertical="center"/>
    </xf>
    <xf fontId="21396" applyFont="true" borderId="8" applyBorder="true" applyNumberFormat="true" numFmtId="167" fillId="22" applyFill="true">
      <alignment horizontal="center" vertical="center"/>
    </xf>
    <xf fontId="21397" applyFont="true" borderId="8" applyBorder="true" applyNumberFormat="true" numFmtId="167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" fillId="22" applyFill="true">
      <alignment horizontal="center" vertical="center"/>
    </xf>
    <xf fontId="21400" applyFont="true" borderId="8" applyBorder="true" applyNumberFormat="true" numFmtId="1" fillId="22" applyFill="true">
      <alignment horizontal="center" vertical="center"/>
    </xf>
    <xf fontId="21401" applyFont="true" borderId="8" applyBorder="true" applyNumberFormat="true" numFmtId="167" fillId="22" applyFill="true">
      <alignment horizontal="center" vertical="center"/>
    </xf>
    <xf fontId="21402" applyFont="true" borderId="8" applyBorder="true" applyNumberFormat="true" numFmtId="166" fillId="22" applyFill="true">
      <alignment horizontal="center" vertical="center"/>
    </xf>
    <xf fontId="21403" applyFont="true" borderId="8" applyBorder="true" applyNumberFormat="true" numFmtId="166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67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1" fillId="22" applyFill="true">
      <alignment horizontal="center" vertical="center"/>
    </xf>
    <xf fontId="21418" applyFont="true" borderId="8" applyBorder="true" applyNumberFormat="true" numFmtId="167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2" fillId="22" applyFill="true">
      <alignment horizontal="center" vertical="center"/>
    </xf>
    <xf fontId="21452" applyFont="true" borderId="8" applyBorder="true" applyNumberFormat="true" numFmtId="2" fillId="22" applyFill="true">
      <alignment horizontal="center" vertical="center"/>
    </xf>
    <xf fontId="21453" applyFont="true" borderId="8" applyBorder="true" applyNumberFormat="true" numFmtId="165" fillId="19" applyFill="true">
      <alignment horizontal="left" vertical="center"/>
    </xf>
    <xf fontId="21454" applyFont="true" borderId="8" applyBorder="true" applyNumberFormat="true" numFmtId="165" fillId="22" applyFill="true">
      <alignment horizontal="center" vertical="center"/>
    </xf>
    <xf fontId="21455" applyFont="true" borderId="8" applyBorder="true" applyNumberFormat="true" numFmtId="166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" fillId="22" applyFill="true">
      <alignment horizontal="center" vertical="center"/>
    </xf>
    <xf fontId="21462" applyFont="true" borderId="8" applyBorder="true" applyNumberFormat="true" numFmtId="1" fillId="22" applyFill="true">
      <alignment horizontal="center" vertical="center"/>
    </xf>
    <xf fontId="21463" applyFont="true" borderId="8" applyBorder="true" applyNumberFormat="true" numFmtId="165" fillId="22" applyFill="true">
      <alignment horizontal="center" vertical="center"/>
    </xf>
    <xf fontId="21464" applyFont="true" borderId="8" applyBorder="true" applyNumberFormat="true" numFmtId="165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" fillId="22" applyFill="true">
      <alignment horizontal="center" vertical="center"/>
    </xf>
    <xf fontId="21474" applyFont="true" borderId="8" applyBorder="true" applyNumberFormat="true" numFmtId="167" fillId="22" applyFill="true">
      <alignment horizontal="center" vertical="center"/>
    </xf>
    <xf fontId="21475" applyFont="true" borderId="8" applyBorder="true" applyNumberFormat="true" numFmtId="167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" fillId="22" applyFill="true">
      <alignment horizontal="center" vertical="center"/>
    </xf>
    <xf fontId="21478" applyFont="true" borderId="8" applyBorder="true" applyNumberFormat="true" numFmtId="1" fillId="22" applyFill="true">
      <alignment horizontal="center" vertical="center"/>
    </xf>
    <xf fontId="21479" applyFont="true" borderId="8" applyBorder="true" applyNumberFormat="true" numFmtId="167" fillId="22" applyFill="true">
      <alignment horizontal="center" vertical="center"/>
    </xf>
    <xf fontId="21480" applyFont="true" borderId="8" applyBorder="true" applyNumberFormat="true" numFmtId="166" fillId="22" applyFill="true">
      <alignment horizontal="center" vertical="center"/>
    </xf>
    <xf fontId="21481" applyFont="true" borderId="8" applyBorder="true" applyNumberFormat="true" numFmtId="166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67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1" fillId="22" applyFill="true">
      <alignment horizontal="center" vertical="center"/>
    </xf>
    <xf fontId="21496" applyFont="true" borderId="8" applyBorder="true" applyNumberFormat="true" numFmtId="167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2" fillId="22" applyFill="true">
      <alignment horizontal="center" vertical="center"/>
    </xf>
    <xf fontId="21530" applyFont="true" borderId="8" applyBorder="true" applyNumberFormat="true" numFmtId="2" fillId="22" applyFill="true">
      <alignment horizontal="center" vertical="center"/>
    </xf>
    <xf fontId="21531" applyFont="true" borderId="8" applyBorder="true" applyNumberFormat="true" numFmtId="165" fillId="19" applyFill="true">
      <alignment horizontal="left" vertical="center"/>
    </xf>
    <xf fontId="21532" applyFont="true" borderId="8" applyBorder="true" applyNumberFormat="true" numFmtId="165" fillId="22" applyFill="true">
      <alignment horizontal="center" vertical="center"/>
    </xf>
    <xf fontId="21533" applyFont="true" borderId="8" applyBorder="true" applyNumberFormat="true" numFmtId="166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" fillId="22" applyFill="true">
      <alignment horizontal="center" vertical="center"/>
    </xf>
    <xf fontId="21540" applyFont="true" borderId="8" applyBorder="true" applyNumberFormat="true" numFmtId="1" fillId="22" applyFill="true">
      <alignment horizontal="center" vertical="center"/>
    </xf>
    <xf fontId="21541" applyFont="true" borderId="8" applyBorder="true" applyNumberFormat="true" numFmtId="165" fillId="22" applyFill="true">
      <alignment horizontal="center" vertical="center"/>
    </xf>
    <xf fontId="21542" applyFont="true" borderId="8" applyBorder="true" applyNumberFormat="true" numFmtId="165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" fillId="22" applyFill="true">
      <alignment horizontal="center" vertical="center"/>
    </xf>
    <xf fontId="21552" applyFont="true" borderId="8" applyBorder="true" applyNumberFormat="true" numFmtId="167" fillId="22" applyFill="true">
      <alignment horizontal="center" vertical="center"/>
    </xf>
    <xf fontId="21553" applyFont="true" borderId="8" applyBorder="true" applyNumberFormat="true" numFmtId="167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" fillId="22" applyFill="true">
      <alignment horizontal="center" vertical="center"/>
    </xf>
    <xf fontId="21556" applyFont="true" borderId="8" applyBorder="true" applyNumberFormat="true" numFmtId="1" fillId="22" applyFill="true">
      <alignment horizontal="center" vertical="center"/>
    </xf>
    <xf fontId="21557" applyFont="true" borderId="8" applyBorder="true" applyNumberFormat="true" numFmtId="167" fillId="22" applyFill="true">
      <alignment horizontal="center" vertical="center"/>
    </xf>
    <xf fontId="21558" applyFont="true" borderId="8" applyBorder="true" applyNumberFormat="true" numFmtId="166" fillId="22" applyFill="true">
      <alignment horizontal="center" vertical="center"/>
    </xf>
    <xf fontId="21559" applyFont="true" borderId="8" applyBorder="true" applyNumberFormat="true" numFmtId="166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67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1" fillId="22" applyFill="true">
      <alignment horizontal="center" vertical="center"/>
    </xf>
    <xf fontId="21574" applyFont="true" borderId="8" applyBorder="true" applyNumberFormat="true" numFmtId="167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2" fillId="22" applyFill="true">
      <alignment horizontal="center" vertical="center"/>
    </xf>
    <xf fontId="21608" applyFont="true" borderId="8" applyBorder="true" applyNumberFormat="true" numFmtId="2" fillId="22" applyFill="true">
      <alignment horizontal="center" vertical="center"/>
    </xf>
    <xf fontId="21609" applyFont="true" borderId="8" applyBorder="true" applyNumberFormat="true" numFmtId="165" fillId="19" applyFill="true">
      <alignment horizontal="left" vertical="center"/>
    </xf>
    <xf fontId="21610" applyFont="true" borderId="8" applyBorder="true" applyNumberFormat="true" numFmtId="165" fillId="22" applyFill="true">
      <alignment horizontal="center" vertical="center"/>
    </xf>
    <xf fontId="21611" applyFont="true" borderId="8" applyBorder="true" applyNumberFormat="true" numFmtId="166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" fillId="22" applyFill="true">
      <alignment horizontal="center" vertical="center"/>
    </xf>
    <xf fontId="21618" applyFont="true" borderId="8" applyBorder="true" applyNumberFormat="true" numFmtId="1" fillId="22" applyFill="true">
      <alignment horizontal="center" vertical="center"/>
    </xf>
    <xf fontId="21619" applyFont="true" borderId="8" applyBorder="true" applyNumberFormat="true" numFmtId="165" fillId="22" applyFill="true">
      <alignment horizontal="center" vertical="center"/>
    </xf>
    <xf fontId="21620" applyFont="true" borderId="8" applyBorder="true" applyNumberFormat="true" numFmtId="165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" fillId="22" applyFill="true">
      <alignment horizontal="center" vertical="center"/>
    </xf>
    <xf fontId="21630" applyFont="true" borderId="8" applyBorder="true" applyNumberFormat="true" numFmtId="167" fillId="22" applyFill="true">
      <alignment horizontal="center" vertical="center"/>
    </xf>
    <xf fontId="21631" applyFont="true" borderId="8" applyBorder="true" applyNumberFormat="true" numFmtId="167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" fillId="22" applyFill="true">
      <alignment horizontal="center" vertical="center"/>
    </xf>
    <xf fontId="21634" applyFont="true" borderId="8" applyBorder="true" applyNumberFormat="true" numFmtId="1" fillId="22" applyFill="true">
      <alignment horizontal="center" vertical="center"/>
    </xf>
    <xf fontId="21635" applyFont="true" borderId="8" applyBorder="true" applyNumberFormat="true" numFmtId="167" fillId="22" applyFill="true">
      <alignment horizontal="center" vertical="center"/>
    </xf>
    <xf fontId="21636" applyFont="true" borderId="8" applyBorder="true" applyNumberFormat="true" numFmtId="166" fillId="22" applyFill="true">
      <alignment horizontal="center" vertical="center"/>
    </xf>
    <xf fontId="21637" applyFont="true" borderId="8" applyBorder="true" applyNumberFormat="true" numFmtId="166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67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1" fillId="22" applyFill="true">
      <alignment horizontal="center" vertical="center"/>
    </xf>
    <xf fontId="21652" applyFont="true" borderId="8" applyBorder="true" applyNumberFormat="true" numFmtId="167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2" fillId="22" applyFill="true">
      <alignment horizontal="center" vertical="center"/>
    </xf>
    <xf fontId="21686" applyFont="true" borderId="8" applyBorder="true" applyNumberFormat="true" numFmtId="2" fillId="22" applyFill="true">
      <alignment horizontal="center" vertical="center"/>
    </xf>
    <xf fontId="21687" applyFont="true" borderId="8" applyBorder="true" applyNumberFormat="true" numFmtId="165" fillId="19" applyFill="true">
      <alignment horizontal="left" vertical="center"/>
    </xf>
    <xf fontId="21688" applyFont="true" borderId="8" applyBorder="true" applyNumberFormat="true" numFmtId="165" fillId="22" applyFill="true">
      <alignment horizontal="center" vertical="center"/>
    </xf>
    <xf fontId="21689" applyFont="true" borderId="8" applyBorder="true" applyNumberFormat="true" numFmtId="166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" fillId="22" applyFill="true">
      <alignment horizontal="center" vertical="center"/>
    </xf>
    <xf fontId="21696" applyFont="true" borderId="8" applyBorder="true" applyNumberFormat="true" numFmtId="1" fillId="22" applyFill="true">
      <alignment horizontal="center" vertical="center"/>
    </xf>
    <xf fontId="21697" applyFont="true" borderId="8" applyBorder="true" applyNumberFormat="true" numFmtId="165" fillId="22" applyFill="true">
      <alignment horizontal="center" vertical="center"/>
    </xf>
    <xf fontId="21698" applyFont="true" borderId="8" applyBorder="true" applyNumberFormat="true" numFmtId="165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" fillId="22" applyFill="true">
      <alignment horizontal="center" vertical="center"/>
    </xf>
    <xf fontId="21708" applyFont="true" borderId="8" applyBorder="true" applyNumberFormat="true" numFmtId="167" fillId="22" applyFill="true">
      <alignment horizontal="center" vertical="center"/>
    </xf>
    <xf fontId="21709" applyFont="true" borderId="8" applyBorder="true" applyNumberFormat="true" numFmtId="167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" fillId="22" applyFill="true">
      <alignment horizontal="center" vertical="center"/>
    </xf>
    <xf fontId="21712" applyFont="true" borderId="8" applyBorder="true" applyNumberFormat="true" numFmtId="1" fillId="22" applyFill="true">
      <alignment horizontal="center" vertical="center"/>
    </xf>
    <xf fontId="21713" applyFont="true" borderId="8" applyBorder="true" applyNumberFormat="true" numFmtId="167" fillId="22" applyFill="true">
      <alignment horizontal="center" vertical="center"/>
    </xf>
    <xf fontId="21714" applyFont="true" borderId="8" applyBorder="true" applyNumberFormat="true" numFmtId="166" fillId="22" applyFill="true">
      <alignment horizontal="center" vertical="center"/>
    </xf>
    <xf fontId="21715" applyFont="true" borderId="8" applyBorder="true" applyNumberFormat="true" numFmtId="166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67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1" fillId="22" applyFill="true">
      <alignment horizontal="center" vertical="center"/>
    </xf>
    <xf fontId="21730" applyFont="true" borderId="8" applyBorder="true" applyNumberFormat="true" numFmtId="167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2" fillId="22" applyFill="true">
      <alignment horizontal="center" vertical="center"/>
    </xf>
    <xf fontId="21764" applyFont="true" borderId="8" applyBorder="true" applyNumberFormat="true" numFmtId="2" fillId="22" applyFill="true">
      <alignment horizontal="center" vertical="center"/>
    </xf>
    <xf fontId="21765" applyFont="true" borderId="8" applyBorder="true" applyNumberFormat="true" numFmtId="165" fillId="19" applyFill="true">
      <alignment horizontal="left" vertical="center"/>
    </xf>
    <xf fontId="21766" applyFont="true" borderId="8" applyBorder="true" applyNumberFormat="true" numFmtId="165" fillId="22" applyFill="true">
      <alignment horizontal="center" vertical="center"/>
    </xf>
    <xf fontId="21767" applyFont="true" borderId="8" applyBorder="true" applyNumberFormat="true" numFmtId="166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" fillId="22" applyFill="true">
      <alignment horizontal="center" vertical="center"/>
    </xf>
    <xf fontId="21774" applyFont="true" borderId="8" applyBorder="true" applyNumberFormat="true" numFmtId="1" fillId="22" applyFill="true">
      <alignment horizontal="center" vertical="center"/>
    </xf>
    <xf fontId="21775" applyFont="true" borderId="8" applyBorder="true" applyNumberFormat="true" numFmtId="165" fillId="22" applyFill="true">
      <alignment horizontal="center" vertical="center"/>
    </xf>
    <xf fontId="21776" applyFont="true" borderId="8" applyBorder="true" applyNumberFormat="true" numFmtId="165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" fillId="22" applyFill="true">
      <alignment horizontal="center" vertical="center"/>
    </xf>
    <xf fontId="21786" applyFont="true" borderId="8" applyBorder="true" applyNumberFormat="true" numFmtId="167" fillId="22" applyFill="true">
      <alignment horizontal="center" vertical="center"/>
    </xf>
    <xf fontId="21787" applyFont="true" borderId="8" applyBorder="true" applyNumberFormat="true" numFmtId="167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" fillId="22" applyFill="true">
      <alignment horizontal="center" vertical="center"/>
    </xf>
    <xf fontId="21790" applyFont="true" borderId="8" applyBorder="true" applyNumberFormat="true" numFmtId="1" fillId="22" applyFill="true">
      <alignment horizontal="center" vertical="center"/>
    </xf>
    <xf fontId="21791" applyFont="true" borderId="8" applyBorder="true" applyNumberFormat="true" numFmtId="167" fillId="22" applyFill="true">
      <alignment horizontal="center" vertical="center"/>
    </xf>
    <xf fontId="21792" applyFont="true" borderId="8" applyBorder="true" applyNumberFormat="true" numFmtId="166" fillId="22" applyFill="true">
      <alignment horizontal="center" vertical="center"/>
    </xf>
    <xf fontId="21793" applyFont="true" borderId="8" applyBorder="true" applyNumberFormat="true" numFmtId="166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67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1" fillId="22" applyFill="true">
      <alignment horizontal="center" vertical="center"/>
    </xf>
    <xf fontId="21808" applyFont="true" borderId="8" applyBorder="true" applyNumberFormat="true" numFmtId="167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2" fillId="22" applyFill="true">
      <alignment horizontal="center" vertical="center"/>
    </xf>
    <xf fontId="21842" applyFont="true" borderId="8" applyBorder="true" applyNumberFormat="true" numFmtId="2" fillId="22" applyFill="true">
      <alignment horizontal="center" vertical="center"/>
    </xf>
    <xf fontId="21843" applyFont="true" borderId="8" applyBorder="true" applyNumberFormat="true" numFmtId="165" fillId="19" applyFill="true">
      <alignment horizontal="left" vertical="center"/>
    </xf>
    <xf fontId="21844" applyFont="true" borderId="8" applyBorder="true" applyNumberFormat="true" numFmtId="165" fillId="22" applyFill="true">
      <alignment horizontal="center" vertical="center"/>
    </xf>
    <xf fontId="21845" applyFont="true" borderId="8" applyBorder="true" applyNumberFormat="true" numFmtId="166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" fillId="22" applyFill="true">
      <alignment horizontal="center" vertical="center"/>
    </xf>
    <xf fontId="21852" applyFont="true" borderId="8" applyBorder="true" applyNumberFormat="true" numFmtId="1" fillId="22" applyFill="true">
      <alignment horizontal="center" vertical="center"/>
    </xf>
    <xf fontId="21853" applyFont="true" borderId="8" applyBorder="true" applyNumberFormat="true" numFmtId="165" fillId="22" applyFill="true">
      <alignment horizontal="center" vertical="center"/>
    </xf>
    <xf fontId="21854" applyFont="true" borderId="8" applyBorder="true" applyNumberFormat="true" numFmtId="165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" fillId="22" applyFill="true">
      <alignment horizontal="center" vertical="center"/>
    </xf>
    <xf fontId="21864" applyFont="true" borderId="8" applyBorder="true" applyNumberFormat="true" numFmtId="167" fillId="22" applyFill="true">
      <alignment horizontal="center" vertical="center"/>
    </xf>
    <xf fontId="21865" applyFont="true" borderId="8" applyBorder="true" applyNumberFormat="true" numFmtId="167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" fillId="22" applyFill="true">
      <alignment horizontal="center" vertical="center"/>
    </xf>
    <xf fontId="21868" applyFont="true" borderId="8" applyBorder="true" applyNumberFormat="true" numFmtId="1" fillId="22" applyFill="true">
      <alignment horizontal="center" vertical="center"/>
    </xf>
    <xf fontId="21869" applyFont="true" borderId="8" applyBorder="true" applyNumberFormat="true" numFmtId="167" fillId="22" applyFill="true">
      <alignment horizontal="center" vertical="center"/>
    </xf>
    <xf fontId="21870" applyFont="true" borderId="8" applyBorder="true" applyNumberFormat="true" numFmtId="166" fillId="22" applyFill="true">
      <alignment horizontal="center" vertical="center"/>
    </xf>
    <xf fontId="21871" applyFont="true" borderId="8" applyBorder="true" applyNumberFormat="true" numFmtId="166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67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1" fillId="22" applyFill="true">
      <alignment horizontal="center" vertical="center"/>
    </xf>
    <xf fontId="21886" applyFont="true" borderId="8" applyBorder="true" applyNumberFormat="true" numFmtId="167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2" fillId="22" applyFill="true">
      <alignment horizontal="center" vertical="center"/>
    </xf>
    <xf fontId="21920" applyFont="true" borderId="8" applyBorder="true" applyNumberFormat="true" numFmtId="2" fillId="22" applyFill="true">
      <alignment horizontal="center" vertical="center"/>
    </xf>
    <xf fontId="21921" applyFont="true" borderId="8" applyBorder="true" applyNumberFormat="true" numFmtId="165" fillId="19" applyFill="true">
      <alignment horizontal="left" vertical="center"/>
    </xf>
    <xf fontId="21922" applyFont="true" borderId="8" applyBorder="true" applyNumberFormat="true" numFmtId="165" fillId="22" applyFill="true">
      <alignment horizontal="center" vertical="center"/>
    </xf>
    <xf fontId="21923" applyFont="true" borderId="8" applyBorder="true" applyNumberFormat="true" numFmtId="166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" fillId="22" applyFill="true">
      <alignment horizontal="center" vertical="center"/>
    </xf>
    <xf fontId="21930" applyFont="true" borderId="8" applyBorder="true" applyNumberFormat="true" numFmtId="1" fillId="22" applyFill="true">
      <alignment horizontal="center" vertical="center"/>
    </xf>
    <xf fontId="21931" applyFont="true" borderId="8" applyBorder="true" applyNumberFormat="true" numFmtId="165" fillId="22" applyFill="true">
      <alignment horizontal="center" vertical="center"/>
    </xf>
    <xf fontId="21932" applyFont="true" borderId="8" applyBorder="true" applyNumberFormat="true" numFmtId="165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" fillId="22" applyFill="true">
      <alignment horizontal="center" vertical="center"/>
    </xf>
    <xf fontId="21942" applyFont="true" borderId="8" applyBorder="true" applyNumberFormat="true" numFmtId="167" fillId="22" applyFill="true">
      <alignment horizontal="center" vertical="center"/>
    </xf>
    <xf fontId="21943" applyFont="true" borderId="8" applyBorder="true" applyNumberFormat="true" numFmtId="167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" fillId="22" applyFill="true">
      <alignment horizontal="center" vertical="center"/>
    </xf>
    <xf fontId="21946" applyFont="true" borderId="8" applyBorder="true" applyNumberFormat="true" numFmtId="1" fillId="22" applyFill="true">
      <alignment horizontal="center" vertical="center"/>
    </xf>
    <xf fontId="21947" applyFont="true" borderId="8" applyBorder="true" applyNumberFormat="true" numFmtId="167" fillId="22" applyFill="true">
      <alignment horizontal="center" vertical="center"/>
    </xf>
    <xf fontId="21948" applyFont="true" borderId="8" applyBorder="true" applyNumberFormat="true" numFmtId="166" fillId="22" applyFill="true">
      <alignment horizontal="center" vertical="center"/>
    </xf>
    <xf fontId="21949" applyFont="true" borderId="8" applyBorder="true" applyNumberFormat="true" numFmtId="166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67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1" fillId="22" applyFill="true">
      <alignment horizontal="center" vertical="center"/>
    </xf>
    <xf fontId="21964" applyFont="true" borderId="8" applyBorder="true" applyNumberFormat="true" numFmtId="167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2" fillId="22" applyFill="true">
      <alignment horizontal="center" vertical="center"/>
    </xf>
    <xf fontId="21998" applyFont="true" borderId="8" applyBorder="true" applyNumberFormat="true" numFmtId="2" fillId="22" applyFill="true">
      <alignment horizontal="center" vertical="center"/>
    </xf>
    <xf fontId="21999" applyFont="true" borderId="8" applyBorder="true" applyNumberFormat="true" numFmtId="165" fillId="19" applyFill="true">
      <alignment horizontal="left" vertical="center"/>
    </xf>
    <xf fontId="22000" applyFont="true" borderId="8" applyBorder="true" applyNumberFormat="true" numFmtId="165" fillId="22" applyFill="true">
      <alignment horizontal="center" vertical="center"/>
    </xf>
    <xf fontId="22001" applyFont="true" borderId="8" applyBorder="true" applyNumberFormat="true" numFmtId="166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" fillId="22" applyFill="true">
      <alignment horizontal="center" vertical="center"/>
    </xf>
    <xf fontId="22008" applyFont="true" borderId="8" applyBorder="true" applyNumberFormat="true" numFmtId="1" fillId="22" applyFill="true">
      <alignment horizontal="center" vertical="center"/>
    </xf>
    <xf fontId="22009" applyFont="true" borderId="8" applyBorder="true" applyNumberFormat="true" numFmtId="165" fillId="22" applyFill="true">
      <alignment horizontal="center" vertical="center"/>
    </xf>
    <xf fontId="22010" applyFont="true" borderId="8" applyBorder="true" applyNumberFormat="true" numFmtId="165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" fillId="22" applyFill="true">
      <alignment horizontal="center" vertical="center"/>
    </xf>
    <xf fontId="22020" applyFont="true" borderId="8" applyBorder="true" applyNumberFormat="true" numFmtId="167" fillId="22" applyFill="true">
      <alignment horizontal="center" vertical="center"/>
    </xf>
    <xf fontId="22021" applyFont="true" borderId="8" applyBorder="true" applyNumberFormat="true" numFmtId="167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" fillId="22" applyFill="true">
      <alignment horizontal="center" vertical="center"/>
    </xf>
    <xf fontId="22024" applyFont="true" borderId="8" applyBorder="true" applyNumberFormat="true" numFmtId="1" fillId="22" applyFill="true">
      <alignment horizontal="center" vertical="center"/>
    </xf>
    <xf fontId="22025" applyFont="true" borderId="8" applyBorder="true" applyNumberFormat="true" numFmtId="167" fillId="22" applyFill="true">
      <alignment horizontal="center" vertical="center"/>
    </xf>
    <xf fontId="22026" applyFont="true" borderId="8" applyBorder="true" applyNumberFormat="true" numFmtId="166" fillId="22" applyFill="true">
      <alignment horizontal="center" vertical="center"/>
    </xf>
    <xf fontId="22027" applyFont="true" borderId="8" applyBorder="true" applyNumberFormat="true" numFmtId="166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67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1" fillId="22" applyFill="true">
      <alignment horizontal="center" vertical="center"/>
    </xf>
    <xf fontId="22042" applyFont="true" borderId="8" applyBorder="true" applyNumberFormat="true" numFmtId="167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2" fillId="22" applyFill="true">
      <alignment horizontal="center" vertical="center"/>
    </xf>
    <xf fontId="22076" applyFont="true" borderId="8" applyBorder="true" applyNumberFormat="true" numFmtId="2" fillId="22" applyFill="true">
      <alignment horizontal="center" vertical="center"/>
    </xf>
    <xf fontId="22077" applyFont="true" borderId="8" applyBorder="true" applyNumberFormat="true" numFmtId="165" fillId="19" applyFill="true">
      <alignment horizontal="left" vertical="center"/>
    </xf>
    <xf fontId="22078" applyFont="true" borderId="8" applyBorder="true" applyNumberFormat="true" numFmtId="165" fillId="22" applyFill="true">
      <alignment horizontal="center" vertical="center"/>
    </xf>
    <xf fontId="22079" applyFont="true" borderId="8" applyBorder="true" applyNumberFormat="true" numFmtId="166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" fillId="22" applyFill="true">
      <alignment horizontal="center" vertical="center"/>
    </xf>
    <xf fontId="22086" applyFont="true" borderId="8" applyBorder="true" applyNumberFormat="true" numFmtId="1" fillId="22" applyFill="true">
      <alignment horizontal="center" vertical="center"/>
    </xf>
    <xf fontId="22087" applyFont="true" borderId="8" applyBorder="true" applyNumberFormat="true" numFmtId="165" fillId="22" applyFill="true">
      <alignment horizontal="center" vertical="center"/>
    </xf>
    <xf fontId="22088" applyFont="true" borderId="8" applyBorder="true" applyNumberFormat="true" numFmtId="165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" fillId="22" applyFill="true">
      <alignment horizontal="center" vertical="center"/>
    </xf>
    <xf fontId="22098" applyFont="true" borderId="8" applyBorder="true" applyNumberFormat="true" numFmtId="167" fillId="22" applyFill="true">
      <alignment horizontal="center" vertical="center"/>
    </xf>
    <xf fontId="22099" applyFont="true" borderId="8" applyBorder="true" applyNumberFormat="true" numFmtId="167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" fillId="22" applyFill="true">
      <alignment horizontal="center" vertical="center"/>
    </xf>
    <xf fontId="22102" applyFont="true" borderId="8" applyBorder="true" applyNumberFormat="true" numFmtId="1" fillId="22" applyFill="true">
      <alignment horizontal="center" vertical="center"/>
    </xf>
    <xf fontId="22103" applyFont="true" borderId="8" applyBorder="true" applyNumberFormat="true" numFmtId="167" fillId="22" applyFill="true">
      <alignment horizontal="center" vertical="center"/>
    </xf>
    <xf fontId="22104" applyFont="true" borderId="8" applyBorder="true" applyNumberFormat="true" numFmtId="166" fillId="22" applyFill="true">
      <alignment horizontal="center" vertical="center"/>
    </xf>
    <xf fontId="22105" applyFont="true" borderId="8" applyBorder="true" applyNumberFormat="true" numFmtId="166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67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1" fillId="22" applyFill="true">
      <alignment horizontal="center" vertical="center"/>
    </xf>
    <xf fontId="22120" applyFont="true" borderId="8" applyBorder="true" applyNumberFormat="true" numFmtId="167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2" fillId="22" applyFill="true">
      <alignment horizontal="center" vertical="center"/>
    </xf>
    <xf fontId="22154" applyFont="true" borderId="8" applyBorder="true" applyNumberFormat="true" numFmtId="2" fillId="22" applyFill="true">
      <alignment horizontal="center" vertical="center"/>
    </xf>
    <xf fontId="22155" applyFont="true" borderId="8" applyBorder="true" applyNumberFormat="true" numFmtId="165" fillId="19" applyFill="true">
      <alignment horizontal="left" vertical="center"/>
    </xf>
    <xf fontId="22156" applyFont="true" borderId="8" applyBorder="true" applyNumberFormat="true" numFmtId="165" fillId="22" applyFill="true">
      <alignment horizontal="center" vertical="center"/>
    </xf>
    <xf fontId="22157" applyFont="true" borderId="8" applyBorder="true" applyNumberFormat="true" numFmtId="166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" fillId="22" applyFill="true">
      <alignment horizontal="center" vertical="center"/>
    </xf>
    <xf fontId="22164" applyFont="true" borderId="8" applyBorder="true" applyNumberFormat="true" numFmtId="1" fillId="22" applyFill="true">
      <alignment horizontal="center" vertical="center"/>
    </xf>
    <xf fontId="22165" applyFont="true" borderId="8" applyBorder="true" applyNumberFormat="true" numFmtId="165" fillId="22" applyFill="true">
      <alignment horizontal="center" vertical="center"/>
    </xf>
    <xf fontId="22166" applyFont="true" borderId="8" applyBorder="true" applyNumberFormat="true" numFmtId="165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" fillId="22" applyFill="true">
      <alignment horizontal="center" vertical="center"/>
    </xf>
    <xf fontId="22176" applyFont="true" borderId="8" applyBorder="true" applyNumberFormat="true" numFmtId="167" fillId="22" applyFill="true">
      <alignment horizontal="center" vertical="center"/>
    </xf>
    <xf fontId="22177" applyFont="true" borderId="8" applyBorder="true" applyNumberFormat="true" numFmtId="167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" fillId="22" applyFill="true">
      <alignment horizontal="center" vertical="center"/>
    </xf>
    <xf fontId="22180" applyFont="true" borderId="8" applyBorder="true" applyNumberFormat="true" numFmtId="1" fillId="22" applyFill="true">
      <alignment horizontal="center" vertical="center"/>
    </xf>
    <xf fontId="22181" applyFont="true" borderId="8" applyBorder="true" applyNumberFormat="true" numFmtId="167" fillId="22" applyFill="true">
      <alignment horizontal="center" vertical="center"/>
    </xf>
    <xf fontId="22182" applyFont="true" borderId="8" applyBorder="true" applyNumberFormat="true" numFmtId="166" fillId="22" applyFill="true">
      <alignment horizontal="center" vertical="center"/>
    </xf>
    <xf fontId="22183" applyFont="true" borderId="8" applyBorder="true" applyNumberFormat="true" numFmtId="166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67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1" fillId="22" applyFill="true">
      <alignment horizontal="center" vertical="center"/>
    </xf>
    <xf fontId="22198" applyFont="true" borderId="8" applyBorder="true" applyNumberFormat="true" numFmtId="167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2" fillId="22" applyFill="true">
      <alignment horizontal="center" vertical="center"/>
    </xf>
    <xf fontId="22232" applyFont="true" borderId="8" applyBorder="true" applyNumberFormat="true" numFmtId="2" fillId="22" applyFill="true">
      <alignment horizontal="center" vertical="center"/>
    </xf>
    <xf fontId="22233" applyFont="true" borderId="8" applyBorder="true" applyNumberFormat="true" numFmtId="165" fillId="19" applyFill="true">
      <alignment horizontal="left" vertical="center"/>
    </xf>
    <xf fontId="22234" applyFont="true" borderId="8" applyBorder="true" applyNumberFormat="true" numFmtId="165" fillId="22" applyFill="true">
      <alignment horizontal="center" vertical="center"/>
    </xf>
    <xf fontId="22235" applyFont="true" borderId="8" applyBorder="true" applyNumberFormat="true" numFmtId="166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" fillId="22" applyFill="true">
      <alignment horizontal="center" vertical="center"/>
    </xf>
    <xf fontId="22242" applyFont="true" borderId="8" applyBorder="true" applyNumberFormat="true" numFmtId="1" fillId="22" applyFill="true">
      <alignment horizontal="center" vertical="center"/>
    </xf>
    <xf fontId="22243" applyFont="true" borderId="8" applyBorder="true" applyNumberFormat="true" numFmtId="165" fillId="22" applyFill="true">
      <alignment horizontal="center" vertical="center"/>
    </xf>
    <xf fontId="22244" applyFont="true" borderId="8" applyBorder="true" applyNumberFormat="true" numFmtId="165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" fillId="22" applyFill="true">
      <alignment horizontal="center" vertical="center"/>
    </xf>
    <xf fontId="22254" applyFont="true" borderId="8" applyBorder="true" applyNumberFormat="true" numFmtId="167" fillId="22" applyFill="true">
      <alignment horizontal="center" vertical="center"/>
    </xf>
    <xf fontId="22255" applyFont="true" borderId="8" applyBorder="true" applyNumberFormat="true" numFmtId="167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" fillId="22" applyFill="true">
      <alignment horizontal="center" vertical="center"/>
    </xf>
    <xf fontId="22258" applyFont="true" borderId="8" applyBorder="true" applyNumberFormat="true" numFmtId="1" fillId="22" applyFill="true">
      <alignment horizontal="center" vertical="center"/>
    </xf>
    <xf fontId="22259" applyFont="true" borderId="8" applyBorder="true" applyNumberFormat="true" numFmtId="167" fillId="22" applyFill="true">
      <alignment horizontal="center" vertical="center"/>
    </xf>
    <xf fontId="22260" applyFont="true" borderId="8" applyBorder="true" applyNumberFormat="true" numFmtId="166" fillId="22" applyFill="true">
      <alignment horizontal="center" vertical="center"/>
    </xf>
    <xf fontId="22261" applyFont="true" borderId="8" applyBorder="true" applyNumberFormat="true" numFmtId="166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67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1" fillId="22" applyFill="true">
      <alignment horizontal="center" vertical="center"/>
    </xf>
    <xf fontId="22276" applyFont="true" borderId="8" applyBorder="true" applyNumberFormat="true" numFmtId="167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2" fillId="22" applyFill="true">
      <alignment horizontal="center" vertical="center"/>
    </xf>
    <xf fontId="22310" applyFont="true" borderId="8" applyBorder="true" applyNumberFormat="true" numFmtId="2" fillId="22" applyFill="true">
      <alignment horizontal="center" vertical="center"/>
    </xf>
    <xf fontId="22311" applyFont="true" borderId="8" applyBorder="true" applyNumberFormat="true" numFmtId="165" fillId="19" applyFill="true">
      <alignment horizontal="left" vertical="center"/>
    </xf>
    <xf fontId="22312" applyFont="true" borderId="8" applyBorder="true" applyNumberFormat="true" numFmtId="165" fillId="22" applyFill="true">
      <alignment horizontal="center" vertical="center"/>
    </xf>
    <xf fontId="22313" applyFont="true" borderId="8" applyBorder="true" applyNumberFormat="true" numFmtId="166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" fillId="22" applyFill="true">
      <alignment horizontal="center" vertical="center"/>
    </xf>
    <xf fontId="22320" applyFont="true" borderId="8" applyBorder="true" applyNumberFormat="true" numFmtId="1" fillId="22" applyFill="true">
      <alignment horizontal="center" vertical="center"/>
    </xf>
    <xf fontId="22321" applyFont="true" borderId="8" applyBorder="true" applyNumberFormat="true" numFmtId="165" fillId="22" applyFill="true">
      <alignment horizontal="center" vertical="center"/>
    </xf>
    <xf fontId="22322" applyFont="true" borderId="8" applyBorder="true" applyNumberFormat="true" numFmtId="165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" fillId="22" applyFill="true">
      <alignment horizontal="center" vertical="center"/>
    </xf>
    <xf fontId="22332" applyFont="true" borderId="8" applyBorder="true" applyNumberFormat="true" numFmtId="167" fillId="22" applyFill="true">
      <alignment horizontal="center" vertical="center"/>
    </xf>
    <xf fontId="22333" applyFont="true" borderId="8" applyBorder="true" applyNumberFormat="true" numFmtId="167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" fillId="22" applyFill="true">
      <alignment horizontal="center" vertical="center"/>
    </xf>
    <xf fontId="22336" applyFont="true" borderId="8" applyBorder="true" applyNumberFormat="true" numFmtId="1" fillId="22" applyFill="true">
      <alignment horizontal="center" vertical="center"/>
    </xf>
    <xf fontId="22337" applyFont="true" borderId="8" applyBorder="true" applyNumberFormat="true" numFmtId="167" fillId="22" applyFill="true">
      <alignment horizontal="center" vertical="center"/>
    </xf>
    <xf fontId="22338" applyFont="true" borderId="8" applyBorder="true" applyNumberFormat="true" numFmtId="166" fillId="22" applyFill="true">
      <alignment horizontal="center" vertical="center"/>
    </xf>
    <xf fontId="22339" applyFont="true" borderId="8" applyBorder="true" applyNumberFormat="true" numFmtId="166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67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1" fillId="22" applyFill="true">
      <alignment horizontal="center" vertical="center"/>
    </xf>
    <xf fontId="22354" applyFont="true" borderId="8" applyBorder="true" applyNumberFormat="true" numFmtId="167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2" fillId="22" applyFill="true">
      <alignment horizontal="center" vertical="center"/>
    </xf>
    <xf fontId="22388" applyFont="true" borderId="8" applyBorder="true" applyNumberFormat="true" numFmtId="2" fillId="22" applyFill="true">
      <alignment horizontal="center" vertical="center"/>
    </xf>
    <xf fontId="22389" applyFont="true" borderId="8" applyBorder="true" applyNumberFormat="true" numFmtId="165" fillId="19" applyFill="true">
      <alignment horizontal="left" vertical="center"/>
    </xf>
    <xf fontId="22390" applyFont="true" borderId="8" applyBorder="true" applyNumberFormat="true" numFmtId="165" fillId="22" applyFill="true">
      <alignment horizontal="center" vertical="center"/>
    </xf>
    <xf fontId="22391" applyFont="true" borderId="8" applyBorder="true" applyNumberFormat="true" numFmtId="166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" fillId="22" applyFill="true">
      <alignment horizontal="center" vertical="center"/>
    </xf>
    <xf fontId="22398" applyFont="true" borderId="8" applyBorder="true" applyNumberFormat="true" numFmtId="1" fillId="22" applyFill="true">
      <alignment horizontal="center" vertical="center"/>
    </xf>
    <xf fontId="22399" applyFont="true" borderId="8" applyBorder="true" applyNumberFormat="true" numFmtId="165" fillId="22" applyFill="true">
      <alignment horizontal="center" vertical="center"/>
    </xf>
    <xf fontId="22400" applyFont="true" borderId="8" applyBorder="true" applyNumberFormat="true" numFmtId="165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" fillId="22" applyFill="true">
      <alignment horizontal="center" vertical="center"/>
    </xf>
    <xf fontId="22410" applyFont="true" borderId="8" applyBorder="true" applyNumberFormat="true" numFmtId="167" fillId="22" applyFill="true">
      <alignment horizontal="center" vertical="center"/>
    </xf>
    <xf fontId="22411" applyFont="true" borderId="8" applyBorder="true" applyNumberFormat="true" numFmtId="167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" fillId="22" applyFill="true">
      <alignment horizontal="center" vertical="center"/>
    </xf>
    <xf fontId="22414" applyFont="true" borderId="8" applyBorder="true" applyNumberFormat="true" numFmtId="1" fillId="22" applyFill="true">
      <alignment horizontal="center" vertical="center"/>
    </xf>
    <xf fontId="22415" applyFont="true" borderId="8" applyBorder="true" applyNumberFormat="true" numFmtId="167" fillId="22" applyFill="true">
      <alignment horizontal="center" vertical="center"/>
    </xf>
    <xf fontId="22416" applyFont="true" borderId="8" applyBorder="true" applyNumberFormat="true" numFmtId="166" fillId="22" applyFill="true">
      <alignment horizontal="center" vertical="center"/>
    </xf>
    <xf fontId="22417" applyFont="true" borderId="8" applyBorder="true" applyNumberFormat="true" numFmtId="166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67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1" fillId="22" applyFill="true">
      <alignment horizontal="center" vertical="center"/>
    </xf>
    <xf fontId="22432" applyFont="true" borderId="8" applyBorder="true" applyNumberFormat="true" numFmtId="167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2" fillId="22" applyFill="true">
      <alignment horizontal="center" vertical="center"/>
    </xf>
    <xf fontId="22466" applyFont="true" borderId="8" applyBorder="true" applyNumberFormat="true" numFmtId="2" fillId="22" applyFill="true">
      <alignment horizontal="center" vertical="center"/>
    </xf>
    <xf fontId="22467" applyFont="true" borderId="8" applyBorder="true" applyNumberFormat="true" numFmtId="165" fillId="19" applyFill="true">
      <alignment horizontal="left" vertical="center"/>
    </xf>
    <xf fontId="22468" applyFont="true" borderId="8" applyBorder="true" applyNumberFormat="true" numFmtId="165" fillId="22" applyFill="true">
      <alignment horizontal="center" vertical="center"/>
    </xf>
    <xf fontId="22469" applyFont="true" borderId="8" applyBorder="true" applyNumberFormat="true" numFmtId="166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" fillId="22" applyFill="true">
      <alignment horizontal="center" vertical="center"/>
    </xf>
    <xf fontId="22476" applyFont="true" borderId="8" applyBorder="true" applyNumberFormat="true" numFmtId="1" fillId="22" applyFill="true">
      <alignment horizontal="center" vertical="center"/>
    </xf>
    <xf fontId="22477" applyFont="true" borderId="8" applyBorder="true" applyNumberFormat="true" numFmtId="165" fillId="22" applyFill="true">
      <alignment horizontal="center" vertical="center"/>
    </xf>
    <xf fontId="22478" applyFont="true" borderId="8" applyBorder="true" applyNumberFormat="true" numFmtId="165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" fillId="22" applyFill="true">
      <alignment horizontal="center" vertical="center"/>
    </xf>
    <xf fontId="22488" applyFont="true" borderId="8" applyBorder="true" applyNumberFormat="true" numFmtId="167" fillId="22" applyFill="true">
      <alignment horizontal="center" vertical="center"/>
    </xf>
    <xf fontId="22489" applyFont="true" borderId="8" applyBorder="true" applyNumberFormat="true" numFmtId="167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" fillId="22" applyFill="true">
      <alignment horizontal="center" vertical="center"/>
    </xf>
    <xf fontId="22492" applyFont="true" borderId="8" applyBorder="true" applyNumberFormat="true" numFmtId="1" fillId="22" applyFill="true">
      <alignment horizontal="center" vertical="center"/>
    </xf>
    <xf fontId="22493" applyFont="true" borderId="8" applyBorder="true" applyNumberFormat="true" numFmtId="167" fillId="22" applyFill="true">
      <alignment horizontal="center" vertical="center"/>
    </xf>
    <xf fontId="22494" applyFont="true" borderId="8" applyBorder="true" applyNumberFormat="true" numFmtId="166" fillId="22" applyFill="true">
      <alignment horizontal="center" vertical="center"/>
    </xf>
    <xf fontId="22495" applyFont="true" borderId="8" applyBorder="true" applyNumberFormat="true" numFmtId="166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67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1" fillId="22" applyFill="true">
      <alignment horizontal="center" vertical="center"/>
    </xf>
    <xf fontId="22510" applyFont="true" borderId="8" applyBorder="true" applyNumberFormat="true" numFmtId="167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2" fillId="22" applyFill="true">
      <alignment horizontal="center" vertical="center"/>
    </xf>
    <xf fontId="22544" applyFont="true" borderId="8" applyBorder="true" applyNumberFormat="true" numFmtId="2" fillId="22" applyFill="true">
      <alignment horizontal="center" vertical="center"/>
    </xf>
    <xf fontId="22545" applyFont="true" borderId="8" applyBorder="true" applyNumberFormat="true" numFmtId="165" fillId="19" applyFill="true">
      <alignment horizontal="left" vertical="center"/>
    </xf>
    <xf fontId="22546" applyFont="true" borderId="8" applyBorder="true" applyNumberFormat="true" numFmtId="165" fillId="22" applyFill="true">
      <alignment horizontal="center" vertical="center"/>
    </xf>
    <xf fontId="22547" applyFont="true" borderId="8" applyBorder="true" applyNumberFormat="true" numFmtId="166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" fillId="22" applyFill="true">
      <alignment horizontal="center" vertical="center"/>
    </xf>
    <xf fontId="22554" applyFont="true" borderId="8" applyBorder="true" applyNumberFormat="true" numFmtId="1" fillId="22" applyFill="true">
      <alignment horizontal="center" vertical="center"/>
    </xf>
    <xf fontId="22555" applyFont="true" borderId="8" applyBorder="true" applyNumberFormat="true" numFmtId="165" fillId="22" applyFill="true">
      <alignment horizontal="center" vertical="center"/>
    </xf>
    <xf fontId="22556" applyFont="true" borderId="8" applyBorder="true" applyNumberFormat="true" numFmtId="165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" fillId="22" applyFill="true">
      <alignment horizontal="center" vertical="center"/>
    </xf>
    <xf fontId="22566" applyFont="true" borderId="8" applyBorder="true" applyNumberFormat="true" numFmtId="167" fillId="22" applyFill="true">
      <alignment horizontal="center" vertical="center"/>
    </xf>
    <xf fontId="22567" applyFont="true" borderId="8" applyBorder="true" applyNumberFormat="true" numFmtId="167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" fillId="22" applyFill="true">
      <alignment horizontal="center" vertical="center"/>
    </xf>
    <xf fontId="22570" applyFont="true" borderId="8" applyBorder="true" applyNumberFormat="true" numFmtId="1" fillId="22" applyFill="true">
      <alignment horizontal="center" vertical="center"/>
    </xf>
    <xf fontId="22571" applyFont="true" borderId="8" applyBorder="true" applyNumberFormat="true" numFmtId="167" fillId="22" applyFill="true">
      <alignment horizontal="center" vertical="center"/>
    </xf>
    <xf fontId="22572" applyFont="true" borderId="8" applyBorder="true" applyNumberFormat="true" numFmtId="166" fillId="22" applyFill="true">
      <alignment horizontal="center" vertical="center"/>
    </xf>
    <xf fontId="22573" applyFont="true" borderId="8" applyBorder="true" applyNumberFormat="true" numFmtId="166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67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1" fillId="22" applyFill="true">
      <alignment horizontal="center" vertical="center"/>
    </xf>
    <xf fontId="22588" applyFont="true" borderId="8" applyBorder="true" applyNumberFormat="true" numFmtId="167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2" fillId="22" applyFill="true">
      <alignment horizontal="center" vertical="center"/>
    </xf>
    <xf fontId="22622" applyFont="true" borderId="8" applyBorder="true" applyNumberFormat="true" numFmtId="2" fillId="22" applyFill="true">
      <alignment horizontal="center" vertical="center"/>
    </xf>
    <xf fontId="22623" applyFont="true" borderId="8" applyBorder="true" applyNumberFormat="true" numFmtId="165" fillId="19" applyFill="true">
      <alignment horizontal="left" vertical="center"/>
    </xf>
    <xf fontId="22624" applyFont="true" borderId="8" applyBorder="true" applyNumberFormat="true" numFmtId="165" fillId="22" applyFill="true">
      <alignment horizontal="center" vertical="center"/>
    </xf>
    <xf fontId="22625" applyFont="true" borderId="8" applyBorder="true" applyNumberFormat="true" numFmtId="166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" fillId="22" applyFill="true">
      <alignment horizontal="center" vertical="center"/>
    </xf>
    <xf fontId="22632" applyFont="true" borderId="8" applyBorder="true" applyNumberFormat="true" numFmtId="1" fillId="22" applyFill="true">
      <alignment horizontal="center" vertical="center"/>
    </xf>
    <xf fontId="22633" applyFont="true" borderId="8" applyBorder="true" applyNumberFormat="true" numFmtId="165" fillId="22" applyFill="true">
      <alignment horizontal="center" vertical="center"/>
    </xf>
    <xf fontId="22634" applyFont="true" borderId="8" applyBorder="true" applyNumberFormat="true" numFmtId="165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" fillId="22" applyFill="true">
      <alignment horizontal="center" vertical="center"/>
    </xf>
    <xf fontId="22644" applyFont="true" borderId="8" applyBorder="true" applyNumberFormat="true" numFmtId="167" fillId="22" applyFill="true">
      <alignment horizontal="center" vertical="center"/>
    </xf>
    <xf fontId="22645" applyFont="true" borderId="8" applyBorder="true" applyNumberFormat="true" numFmtId="167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" fillId="22" applyFill="true">
      <alignment horizontal="center" vertical="center"/>
    </xf>
    <xf fontId="22648" applyFont="true" borderId="8" applyBorder="true" applyNumberFormat="true" numFmtId="1" fillId="22" applyFill="true">
      <alignment horizontal="center" vertical="center"/>
    </xf>
    <xf fontId="22649" applyFont="true" borderId="8" applyBorder="true" applyNumberFormat="true" numFmtId="167" fillId="22" applyFill="true">
      <alignment horizontal="center" vertical="center"/>
    </xf>
    <xf fontId="22650" applyFont="true" borderId="8" applyBorder="true" applyNumberFormat="true" numFmtId="166" fillId="22" applyFill="true">
      <alignment horizontal="center" vertical="center"/>
    </xf>
    <xf fontId="22651" applyFont="true" borderId="8" applyBorder="true" applyNumberFormat="true" numFmtId="166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67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1" fillId="22" applyFill="true">
      <alignment horizontal="center" vertical="center"/>
    </xf>
    <xf fontId="22666" applyFont="true" borderId="8" applyBorder="true" applyNumberFormat="true" numFmtId="167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2" fillId="22" applyFill="true">
      <alignment horizontal="center" vertical="center"/>
    </xf>
    <xf fontId="22700" applyFont="true" borderId="8" applyBorder="true" applyNumberFormat="true" numFmtId="2" fillId="22" applyFill="true">
      <alignment horizontal="center" vertical="center"/>
    </xf>
    <xf fontId="22701" applyFont="true" borderId="8" applyBorder="true" applyNumberFormat="true" numFmtId="165" fillId="19" applyFill="true">
      <alignment horizontal="left" vertical="center"/>
    </xf>
    <xf fontId="22702" applyFont="true" borderId="8" applyBorder="true" applyNumberFormat="true" numFmtId="165" fillId="22" applyFill="true">
      <alignment horizontal="center" vertical="center"/>
    </xf>
    <xf fontId="22703" applyFont="true" borderId="8" applyBorder="true" applyNumberFormat="true" numFmtId="166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" fillId="22" applyFill="true">
      <alignment horizontal="center" vertical="center"/>
    </xf>
    <xf fontId="22710" applyFont="true" borderId="8" applyBorder="true" applyNumberFormat="true" numFmtId="1" fillId="22" applyFill="true">
      <alignment horizontal="center" vertical="center"/>
    </xf>
    <xf fontId="22711" applyFont="true" borderId="8" applyBorder="true" applyNumberFormat="true" numFmtId="165" fillId="22" applyFill="true">
      <alignment horizontal="center" vertical="center"/>
    </xf>
    <xf fontId="22712" applyFont="true" borderId="8" applyBorder="true" applyNumberFormat="true" numFmtId="165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" fillId="22" applyFill="true">
      <alignment horizontal="center" vertical="center"/>
    </xf>
    <xf fontId="22722" applyFont="true" borderId="8" applyBorder="true" applyNumberFormat="true" numFmtId="167" fillId="22" applyFill="true">
      <alignment horizontal="center" vertical="center"/>
    </xf>
    <xf fontId="22723" applyFont="true" borderId="8" applyBorder="true" applyNumberFormat="true" numFmtId="167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" fillId="22" applyFill="true">
      <alignment horizontal="center" vertical="center"/>
    </xf>
    <xf fontId="22726" applyFont="true" borderId="8" applyBorder="true" applyNumberFormat="true" numFmtId="1" fillId="22" applyFill="true">
      <alignment horizontal="center" vertical="center"/>
    </xf>
    <xf fontId="22727" applyFont="true" borderId="8" applyBorder="true" applyNumberFormat="true" numFmtId="167" fillId="22" applyFill="true">
      <alignment horizontal="center" vertical="center"/>
    </xf>
    <xf fontId="22728" applyFont="true" borderId="8" applyBorder="true" applyNumberFormat="true" numFmtId="166" fillId="22" applyFill="true">
      <alignment horizontal="center" vertical="center"/>
    </xf>
    <xf fontId="22729" applyFont="true" borderId="8" applyBorder="true" applyNumberFormat="true" numFmtId="166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67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1" fillId="22" applyFill="true">
      <alignment horizontal="center" vertical="center"/>
    </xf>
    <xf fontId="22744" applyFont="true" borderId="8" applyBorder="true" applyNumberFormat="true" numFmtId="167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2" fillId="22" applyFill="true">
      <alignment horizontal="center" vertical="center"/>
    </xf>
    <xf fontId="22778" applyFont="true" borderId="8" applyBorder="true" applyNumberFormat="true" numFmtId="2" fillId="22" applyFill="true">
      <alignment horizontal="center" vertical="center"/>
    </xf>
    <xf fontId="22779" applyFont="true" borderId="8" applyBorder="true" applyNumberFormat="true" numFmtId="165" fillId="19" applyFill="true">
      <alignment horizontal="left" vertical="center"/>
    </xf>
    <xf fontId="22780" applyFont="true" borderId="8" applyBorder="true" applyNumberFormat="true" numFmtId="165" fillId="22" applyFill="true">
      <alignment horizontal="center" vertical="center"/>
    </xf>
    <xf fontId="22781" applyFont="true" borderId="8" applyBorder="true" applyNumberFormat="true" numFmtId="166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" fillId="22" applyFill="true">
      <alignment horizontal="center" vertical="center"/>
    </xf>
    <xf fontId="22788" applyFont="true" borderId="8" applyBorder="true" applyNumberFormat="true" numFmtId="1" fillId="22" applyFill="true">
      <alignment horizontal="center" vertical="center"/>
    </xf>
    <xf fontId="22789" applyFont="true" borderId="8" applyBorder="true" applyNumberFormat="true" numFmtId="165" fillId="22" applyFill="true">
      <alignment horizontal="center" vertical="center"/>
    </xf>
    <xf fontId="22790" applyFont="true" borderId="8" applyBorder="true" applyNumberFormat="true" numFmtId="165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" fillId="22" applyFill="true">
      <alignment horizontal="center" vertical="center"/>
    </xf>
    <xf fontId="22800" applyFont="true" borderId="8" applyBorder="true" applyNumberFormat="true" numFmtId="167" fillId="22" applyFill="true">
      <alignment horizontal="center" vertical="center"/>
    </xf>
    <xf fontId="22801" applyFont="true" borderId="8" applyBorder="true" applyNumberFormat="true" numFmtId="167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" fillId="22" applyFill="true">
      <alignment horizontal="center" vertical="center"/>
    </xf>
    <xf fontId="22804" applyFont="true" borderId="8" applyBorder="true" applyNumberFormat="true" numFmtId="1" fillId="22" applyFill="true">
      <alignment horizontal="center" vertical="center"/>
    </xf>
    <xf fontId="22805" applyFont="true" borderId="8" applyBorder="true" applyNumberFormat="true" numFmtId="167" fillId="22" applyFill="true">
      <alignment horizontal="center" vertical="center"/>
    </xf>
    <xf fontId="22806" applyFont="true" borderId="8" applyBorder="true" applyNumberFormat="true" numFmtId="166" fillId="22" applyFill="true">
      <alignment horizontal="center" vertical="center"/>
    </xf>
    <xf fontId="22807" applyFont="true" borderId="8" applyBorder="true" applyNumberFormat="true" numFmtId="166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67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1" fillId="22" applyFill="true">
      <alignment horizontal="center" vertical="center"/>
    </xf>
    <xf fontId="22822" applyFont="true" borderId="8" applyBorder="true" applyNumberFormat="true" numFmtId="167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2" fillId="22" applyFill="true">
      <alignment horizontal="center" vertical="center"/>
    </xf>
    <xf fontId="22856" applyFont="true" borderId="8" applyBorder="true" applyNumberFormat="true" numFmtId="2" fillId="22" applyFill="true">
      <alignment horizontal="center" vertical="center"/>
    </xf>
    <xf fontId="22857" applyFont="true" borderId="8" applyBorder="true" applyNumberFormat="true" numFmtId="165" fillId="19" applyFill="true">
      <alignment horizontal="left" vertical="center"/>
    </xf>
    <xf fontId="22858" applyFont="true" borderId="8" applyBorder="true" applyNumberFormat="true" numFmtId="165" fillId="22" applyFill="true">
      <alignment horizontal="center" vertical="center"/>
    </xf>
    <xf fontId="22859" applyFont="true" borderId="8" applyBorder="true" applyNumberFormat="true" numFmtId="166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" fillId="22" applyFill="true">
      <alignment horizontal="center" vertical="center"/>
    </xf>
    <xf fontId="22866" applyFont="true" borderId="8" applyBorder="true" applyNumberFormat="true" numFmtId="1" fillId="22" applyFill="true">
      <alignment horizontal="center" vertical="center"/>
    </xf>
    <xf fontId="22867" applyFont="true" borderId="8" applyBorder="true" applyNumberFormat="true" numFmtId="165" fillId="22" applyFill="true">
      <alignment horizontal="center" vertical="center"/>
    </xf>
    <xf fontId="22868" applyFont="true" borderId="8" applyBorder="true" applyNumberFormat="true" numFmtId="165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" fillId="22" applyFill="true">
      <alignment horizontal="center" vertical="center"/>
    </xf>
    <xf fontId="22878" applyFont="true" borderId="8" applyBorder="true" applyNumberFormat="true" numFmtId="167" fillId="22" applyFill="true">
      <alignment horizontal="center" vertical="center"/>
    </xf>
    <xf fontId="22879" applyFont="true" borderId="8" applyBorder="true" applyNumberFormat="true" numFmtId="167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" fillId="22" applyFill="true">
      <alignment horizontal="center" vertical="center"/>
    </xf>
    <xf fontId="22882" applyFont="true" borderId="8" applyBorder="true" applyNumberFormat="true" numFmtId="1" fillId="22" applyFill="true">
      <alignment horizontal="center" vertical="center"/>
    </xf>
    <xf fontId="22883" applyFont="true" borderId="8" applyBorder="true" applyNumberFormat="true" numFmtId="167" fillId="22" applyFill="true">
      <alignment horizontal="center" vertical="center"/>
    </xf>
    <xf fontId="22884" applyFont="true" borderId="8" applyBorder="true" applyNumberFormat="true" numFmtId="166" fillId="22" applyFill="true">
      <alignment horizontal="center" vertical="center"/>
    </xf>
    <xf fontId="22885" applyFont="true" borderId="8" applyBorder="true" applyNumberFormat="true" numFmtId="166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67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1" fillId="22" applyFill="true">
      <alignment horizontal="center" vertical="center"/>
    </xf>
    <xf fontId="22900" applyFont="true" borderId="8" applyBorder="true" applyNumberFormat="true" numFmtId="167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2" fillId="22" applyFill="true">
      <alignment horizontal="center" vertical="center"/>
    </xf>
    <xf fontId="22934" applyFont="true" borderId="8" applyBorder="true" applyNumberFormat="true" numFmtId="2" fillId="22" applyFill="true">
      <alignment horizontal="center" vertical="center"/>
    </xf>
    <xf fontId="22935" applyFont="true" borderId="8" applyBorder="true" applyNumberFormat="true" numFmtId="165" fillId="19" applyFill="true">
      <alignment horizontal="left" vertical="center"/>
    </xf>
    <xf fontId="22936" applyFont="true" borderId="8" applyBorder="true" applyNumberFormat="true" numFmtId="165" fillId="22" applyFill="true">
      <alignment horizontal="center" vertical="center"/>
    </xf>
    <xf fontId="22937" applyFont="true" borderId="8" applyBorder="true" applyNumberFormat="true" numFmtId="166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" fillId="22" applyFill="true">
      <alignment horizontal="center" vertical="center"/>
    </xf>
    <xf fontId="22944" applyFont="true" borderId="8" applyBorder="true" applyNumberFormat="true" numFmtId="1" fillId="22" applyFill="true">
      <alignment horizontal="center" vertical="center"/>
    </xf>
    <xf fontId="22945" applyFont="true" borderId="8" applyBorder="true" applyNumberFormat="true" numFmtId="165" fillId="22" applyFill="true">
      <alignment horizontal="center" vertical="center"/>
    </xf>
    <xf fontId="22946" applyFont="true" borderId="8" applyBorder="true" applyNumberFormat="true" numFmtId="165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" fillId="22" applyFill="true">
      <alignment horizontal="center" vertical="center"/>
    </xf>
    <xf fontId="22956" applyFont="true" borderId="8" applyBorder="true" applyNumberFormat="true" numFmtId="167" fillId="22" applyFill="true">
      <alignment horizontal="center" vertical="center"/>
    </xf>
    <xf fontId="22957" applyFont="true" borderId="8" applyBorder="true" applyNumberFormat="true" numFmtId="167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" fillId="22" applyFill="true">
      <alignment horizontal="center" vertical="center"/>
    </xf>
    <xf fontId="22960" applyFont="true" borderId="8" applyBorder="true" applyNumberFormat="true" numFmtId="1" fillId="22" applyFill="true">
      <alignment horizontal="center" vertical="center"/>
    </xf>
    <xf fontId="22961" applyFont="true" borderId="8" applyBorder="true" applyNumberFormat="true" numFmtId="167" fillId="22" applyFill="true">
      <alignment horizontal="center" vertical="center"/>
    </xf>
    <xf fontId="22962" applyFont="true" borderId="8" applyBorder="true" applyNumberFormat="true" numFmtId="166" fillId="22" applyFill="true">
      <alignment horizontal="center" vertical="center"/>
    </xf>
    <xf fontId="22963" applyFont="true" borderId="8" applyBorder="true" applyNumberFormat="true" numFmtId="166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67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1" fillId="22" applyFill="true">
      <alignment horizontal="center" vertical="center"/>
    </xf>
    <xf fontId="22978" applyFont="true" borderId="8" applyBorder="true" applyNumberFormat="true" numFmtId="167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2" fillId="22" applyFill="true">
      <alignment horizontal="center" vertical="center"/>
    </xf>
    <xf fontId="23012" applyFont="true" borderId="8" applyBorder="true" applyNumberFormat="true" numFmtId="2" fillId="22" applyFill="true">
      <alignment horizontal="center" vertical="center"/>
    </xf>
    <xf fontId="23013" applyFont="true" borderId="8" applyBorder="true" applyNumberFormat="true" numFmtId="165" fillId="19" applyFill="true">
      <alignment horizontal="left" vertical="center"/>
    </xf>
    <xf fontId="23014" applyFont="true" borderId="8" applyBorder="true" applyNumberFormat="true" numFmtId="165" fillId="22" applyFill="true">
      <alignment horizontal="center" vertical="center"/>
    </xf>
    <xf fontId="23015" applyFont="true" borderId="8" applyBorder="true" applyNumberFormat="true" numFmtId="166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" fillId="22" applyFill="true">
      <alignment horizontal="center" vertical="center"/>
    </xf>
    <xf fontId="23022" applyFont="true" borderId="8" applyBorder="true" applyNumberFormat="true" numFmtId="1" fillId="22" applyFill="true">
      <alignment horizontal="center" vertical="center"/>
    </xf>
    <xf fontId="23023" applyFont="true" borderId="8" applyBorder="true" applyNumberFormat="true" numFmtId="165" fillId="22" applyFill="true">
      <alignment horizontal="center" vertical="center"/>
    </xf>
    <xf fontId="23024" applyFont="true" borderId="8" applyBorder="true" applyNumberFormat="true" numFmtId="165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" fillId="22" applyFill="true">
      <alignment horizontal="center" vertical="center"/>
    </xf>
    <xf fontId="23034" applyFont="true" borderId="8" applyBorder="true" applyNumberFormat="true" numFmtId="167" fillId="22" applyFill="true">
      <alignment horizontal="center" vertical="center"/>
    </xf>
    <xf fontId="23035" applyFont="true" borderId="8" applyBorder="true" applyNumberFormat="true" numFmtId="167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" fillId="22" applyFill="true">
      <alignment horizontal="center" vertical="center"/>
    </xf>
    <xf fontId="23038" applyFont="true" borderId="8" applyBorder="true" applyNumberFormat="true" numFmtId="1" fillId="22" applyFill="true">
      <alignment horizontal="center" vertical="center"/>
    </xf>
    <xf fontId="23039" applyFont="true" borderId="8" applyBorder="true" applyNumberFormat="true" numFmtId="167" fillId="22" applyFill="true">
      <alignment horizontal="center" vertical="center"/>
    </xf>
    <xf fontId="23040" applyFont="true" borderId="8" applyBorder="true" applyNumberFormat="true" numFmtId="166" fillId="22" applyFill="true">
      <alignment horizontal="center" vertical="center"/>
    </xf>
    <xf fontId="23041" applyFont="true" borderId="8" applyBorder="true" applyNumberFormat="true" numFmtId="166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67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1" fillId="22" applyFill="true">
      <alignment horizontal="center" vertical="center"/>
    </xf>
    <xf fontId="23056" applyFont="true" borderId="8" applyBorder="true" applyNumberFormat="true" numFmtId="167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2" fillId="22" applyFill="true">
      <alignment horizontal="center" vertical="center"/>
    </xf>
    <xf fontId="23090" applyFont="true" borderId="8" applyBorder="true" applyNumberFormat="true" numFmtId="2" fillId="22" applyFill="true">
      <alignment horizontal="center" vertical="center"/>
    </xf>
    <xf fontId="23091" applyFont="true" borderId="8" applyBorder="true" applyNumberFormat="true" numFmtId="165" fillId="19" applyFill="true">
      <alignment horizontal="left" vertical="center"/>
    </xf>
    <xf fontId="23092" applyFont="true" borderId="8" applyBorder="true" applyNumberFormat="true" numFmtId="165" fillId="22" applyFill="true">
      <alignment horizontal="center" vertical="center"/>
    </xf>
    <xf fontId="23093" applyFont="true" borderId="8" applyBorder="true" applyNumberFormat="true" numFmtId="166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" fillId="22" applyFill="true">
      <alignment horizontal="center" vertical="center"/>
    </xf>
    <xf fontId="23100" applyFont="true" borderId="8" applyBorder="true" applyNumberFormat="true" numFmtId="1" fillId="22" applyFill="true">
      <alignment horizontal="center" vertical="center"/>
    </xf>
    <xf fontId="23101" applyFont="true" borderId="8" applyBorder="true" applyNumberFormat="true" numFmtId="165" fillId="22" applyFill="true">
      <alignment horizontal="center" vertical="center"/>
    </xf>
    <xf fontId="23102" applyFont="true" borderId="8" applyBorder="true" applyNumberFormat="true" numFmtId="165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" fillId="22" applyFill="true">
      <alignment horizontal="center" vertical="center"/>
    </xf>
    <xf fontId="23112" applyFont="true" borderId="8" applyBorder="true" applyNumberFormat="true" numFmtId="167" fillId="22" applyFill="true">
      <alignment horizontal="center" vertical="center"/>
    </xf>
    <xf fontId="23113" applyFont="true" borderId="8" applyBorder="true" applyNumberFormat="true" numFmtId="167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" fillId="22" applyFill="true">
      <alignment horizontal="center" vertical="center"/>
    </xf>
    <xf fontId="23116" applyFont="true" borderId="8" applyBorder="true" applyNumberFormat="true" numFmtId="1" fillId="22" applyFill="true">
      <alignment horizontal="center" vertical="center"/>
    </xf>
    <xf fontId="23117" applyFont="true" borderId="8" applyBorder="true" applyNumberFormat="true" numFmtId="167" fillId="22" applyFill="true">
      <alignment horizontal="center" vertical="center"/>
    </xf>
    <xf fontId="23118" applyFont="true" borderId="8" applyBorder="true" applyNumberFormat="true" numFmtId="166" fillId="22" applyFill="true">
      <alignment horizontal="center" vertical="center"/>
    </xf>
    <xf fontId="23119" applyFont="true" borderId="8" applyBorder="true" applyNumberFormat="true" numFmtId="166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67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1" fillId="22" applyFill="true">
      <alignment horizontal="center" vertical="center"/>
    </xf>
    <xf fontId="23134" applyFont="true" borderId="8" applyBorder="true" applyNumberFormat="true" numFmtId="167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2" fillId="22" applyFill="true">
      <alignment horizontal="center" vertical="center"/>
    </xf>
    <xf fontId="23168" applyFont="true" borderId="8" applyBorder="true" applyNumberFormat="true" numFmtId="2" fillId="22" applyFill="true">
      <alignment horizontal="center" vertical="center"/>
    </xf>
    <xf fontId="23169" applyFont="true" borderId="8" applyBorder="true" applyNumberFormat="true" numFmtId="165" fillId="19" applyFill="true">
      <alignment horizontal="left" vertical="center"/>
    </xf>
    <xf fontId="23170" applyFont="true" borderId="8" applyBorder="true" applyNumberFormat="true" numFmtId="165" fillId="22" applyFill="true">
      <alignment horizontal="center" vertical="center"/>
    </xf>
    <xf fontId="23171" applyFont="true" borderId="8" applyBorder="true" applyNumberFormat="true" numFmtId="166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" fillId="22" applyFill="true">
      <alignment horizontal="center" vertical="center"/>
    </xf>
    <xf fontId="23178" applyFont="true" borderId="8" applyBorder="true" applyNumberFormat="true" numFmtId="1" fillId="22" applyFill="true">
      <alignment horizontal="center" vertical="center"/>
    </xf>
    <xf fontId="23179" applyFont="true" borderId="8" applyBorder="true" applyNumberFormat="true" numFmtId="165" fillId="22" applyFill="true">
      <alignment horizontal="center" vertical="center"/>
    </xf>
    <xf fontId="23180" applyFont="true" borderId="8" applyBorder="true" applyNumberFormat="true" numFmtId="165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" fillId="22" applyFill="true">
      <alignment horizontal="center" vertical="center"/>
    </xf>
    <xf fontId="23190" applyFont="true" borderId="8" applyBorder="true" applyNumberFormat="true" numFmtId="167" fillId="22" applyFill="true">
      <alignment horizontal="center" vertical="center"/>
    </xf>
    <xf fontId="23191" applyFont="true" borderId="8" applyBorder="true" applyNumberFormat="true" numFmtId="167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" fillId="22" applyFill="true">
      <alignment horizontal="center" vertical="center"/>
    </xf>
    <xf fontId="23194" applyFont="true" borderId="8" applyBorder="true" applyNumberFormat="true" numFmtId="1" fillId="22" applyFill="true">
      <alignment horizontal="center" vertical="center"/>
    </xf>
    <xf fontId="23195" applyFont="true" borderId="8" applyBorder="true" applyNumberFormat="true" numFmtId="167" fillId="22" applyFill="true">
      <alignment horizontal="center" vertical="center"/>
    </xf>
    <xf fontId="23196" applyFont="true" borderId="8" applyBorder="true" applyNumberFormat="true" numFmtId="166" fillId="22" applyFill="true">
      <alignment horizontal="center" vertical="center"/>
    </xf>
    <xf fontId="23197" applyFont="true" borderId="8" applyBorder="true" applyNumberFormat="true" numFmtId="166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67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1" fillId="22" applyFill="true">
      <alignment horizontal="center" vertical="center"/>
    </xf>
    <xf fontId="23212" applyFont="true" borderId="8" applyBorder="true" applyNumberFormat="true" numFmtId="167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2" fillId="22" applyFill="true">
      <alignment horizontal="center" vertical="center"/>
    </xf>
    <xf fontId="23246" applyFont="true" borderId="8" applyBorder="true" applyNumberFormat="true" numFmtId="2" fillId="22" applyFill="true">
      <alignment horizontal="center" vertical="center"/>
    </xf>
    <xf fontId="23247" applyFont="true" borderId="8" applyBorder="true" applyNumberFormat="true" numFmtId="165" fillId="19" applyFill="true">
      <alignment horizontal="left" vertical="center"/>
    </xf>
    <xf fontId="23248" applyFont="true" borderId="8" applyBorder="true" applyNumberFormat="true" numFmtId="165" fillId="22" applyFill="true">
      <alignment horizontal="center" vertical="center"/>
    </xf>
    <xf fontId="23249" applyFont="true" borderId="8" applyBorder="true" applyNumberFormat="true" numFmtId="166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" fillId="22" applyFill="true">
      <alignment horizontal="center" vertical="center"/>
    </xf>
    <xf fontId="23256" applyFont="true" borderId="8" applyBorder="true" applyNumberFormat="true" numFmtId="1" fillId="22" applyFill="true">
      <alignment horizontal="center" vertical="center"/>
    </xf>
    <xf fontId="23257" applyFont="true" borderId="8" applyBorder="true" applyNumberFormat="true" numFmtId="165" fillId="22" applyFill="true">
      <alignment horizontal="center" vertical="center"/>
    </xf>
    <xf fontId="23258" applyFont="true" borderId="8" applyBorder="true" applyNumberFormat="true" numFmtId="165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" fillId="22" applyFill="true">
      <alignment horizontal="center" vertical="center"/>
    </xf>
    <xf fontId="23268" applyFont="true" borderId="8" applyBorder="true" applyNumberFormat="true" numFmtId="167" fillId="22" applyFill="true">
      <alignment horizontal="center" vertical="center"/>
    </xf>
    <xf fontId="23269" applyFont="true" borderId="8" applyBorder="true" applyNumberFormat="true" numFmtId="167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" fillId="22" applyFill="true">
      <alignment horizontal="center" vertical="center"/>
    </xf>
    <xf fontId="23272" applyFont="true" borderId="8" applyBorder="true" applyNumberFormat="true" numFmtId="1" fillId="22" applyFill="true">
      <alignment horizontal="center" vertical="center"/>
    </xf>
    <xf fontId="23273" applyFont="true" borderId="8" applyBorder="true" applyNumberFormat="true" numFmtId="167" fillId="22" applyFill="true">
      <alignment horizontal="center" vertical="center"/>
    </xf>
    <xf fontId="23274" applyFont="true" borderId="8" applyBorder="true" applyNumberFormat="true" numFmtId="166" fillId="22" applyFill="true">
      <alignment horizontal="center" vertical="center"/>
    </xf>
    <xf fontId="23275" applyFont="true" borderId="8" applyBorder="true" applyNumberFormat="true" numFmtId="166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67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1" fillId="22" applyFill="true">
      <alignment horizontal="center" vertical="center"/>
    </xf>
    <xf fontId="23290" applyFont="true" borderId="8" applyBorder="true" applyNumberFormat="true" numFmtId="167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2" fillId="22" applyFill="true">
      <alignment horizontal="center" vertical="center"/>
    </xf>
    <xf fontId="23324" applyFont="true" borderId="8" applyBorder="true" applyNumberFormat="true" numFmtId="2" fillId="22" applyFill="true">
      <alignment horizontal="center" vertical="center"/>
    </xf>
    <xf fontId="23325" applyFont="true" borderId="8" applyBorder="true" applyNumberFormat="true" numFmtId="165" fillId="19" applyFill="true">
      <alignment horizontal="left" vertical="center"/>
    </xf>
    <xf fontId="23326" applyFont="true" borderId="8" applyBorder="true" applyNumberFormat="true" numFmtId="165" fillId="22" applyFill="true">
      <alignment horizontal="center" vertical="center"/>
    </xf>
    <xf fontId="23327" applyFont="true" borderId="8" applyBorder="true" applyNumberFormat="true" numFmtId="166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" fillId="22" applyFill="true">
      <alignment horizontal="center" vertical="center"/>
    </xf>
    <xf fontId="23334" applyFont="true" borderId="8" applyBorder="true" applyNumberFormat="true" numFmtId="1" fillId="22" applyFill="true">
      <alignment horizontal="center" vertical="center"/>
    </xf>
    <xf fontId="23335" applyFont="true" borderId="8" applyBorder="true" applyNumberFormat="true" numFmtId="165" fillId="22" applyFill="true">
      <alignment horizontal="center" vertical="center"/>
    </xf>
    <xf fontId="23336" applyFont="true" borderId="8" applyBorder="true" applyNumberFormat="true" numFmtId="165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" fillId="22" applyFill="true">
      <alignment horizontal="center" vertical="center"/>
    </xf>
    <xf fontId="23346" applyFont="true" borderId="8" applyBorder="true" applyNumberFormat="true" numFmtId="167" fillId="22" applyFill="true">
      <alignment horizontal="center" vertical="center"/>
    </xf>
    <xf fontId="23347" applyFont="true" borderId="8" applyBorder="true" applyNumberFormat="true" numFmtId="167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" fillId="22" applyFill="true">
      <alignment horizontal="center" vertical="center"/>
    </xf>
    <xf fontId="23350" applyFont="true" borderId="8" applyBorder="true" applyNumberFormat="true" numFmtId="1" fillId="22" applyFill="true">
      <alignment horizontal="center" vertical="center"/>
    </xf>
    <xf fontId="23351" applyFont="true" borderId="8" applyBorder="true" applyNumberFormat="true" numFmtId="167" fillId="22" applyFill="true">
      <alignment horizontal="center" vertical="center"/>
    </xf>
    <xf fontId="23352" applyFont="true" borderId="8" applyBorder="true" applyNumberFormat="true" numFmtId="166" fillId="22" applyFill="true">
      <alignment horizontal="center" vertical="center"/>
    </xf>
    <xf fontId="23353" applyFont="true" borderId="8" applyBorder="true" applyNumberFormat="true" numFmtId="166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67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1" fillId="22" applyFill="true">
      <alignment horizontal="center" vertical="center"/>
    </xf>
    <xf fontId="23368" applyFont="true" borderId="8" applyBorder="true" applyNumberFormat="true" numFmtId="167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2" fillId="22" applyFill="true">
      <alignment horizontal="center" vertical="center"/>
    </xf>
    <xf fontId="23402" applyFont="true" borderId="8" applyBorder="true" applyNumberFormat="true" numFmtId="2" fillId="22" applyFill="true">
      <alignment horizontal="center" vertical="center"/>
    </xf>
    <xf fontId="23403" applyFont="true" borderId="8" applyBorder="true" applyNumberFormat="true" numFmtId="165" fillId="19" applyFill="true">
      <alignment horizontal="left" vertical="center"/>
    </xf>
    <xf fontId="23404" applyFont="true" borderId="8" applyBorder="true" applyNumberFormat="true" numFmtId="165" fillId="22" applyFill="true">
      <alignment horizontal="center" vertical="center"/>
    </xf>
    <xf fontId="23405" applyFont="true" borderId="8" applyBorder="true" applyNumberFormat="true" numFmtId="166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" fillId="22" applyFill="true">
      <alignment horizontal="center" vertical="center"/>
    </xf>
    <xf fontId="23412" applyFont="true" borderId="8" applyBorder="true" applyNumberFormat="true" numFmtId="1" fillId="22" applyFill="true">
      <alignment horizontal="center" vertical="center"/>
    </xf>
    <xf fontId="23413" applyFont="true" borderId="8" applyBorder="true" applyNumberFormat="true" numFmtId="165" fillId="22" applyFill="true">
      <alignment horizontal="center" vertical="center"/>
    </xf>
    <xf fontId="23414" applyFont="true" borderId="8" applyBorder="true" applyNumberFormat="true" numFmtId="165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" fillId="22" applyFill="true">
      <alignment horizontal="center" vertical="center"/>
    </xf>
    <xf fontId="23424" applyFont="true" borderId="8" applyBorder="true" applyNumberFormat="true" numFmtId="167" fillId="22" applyFill="true">
      <alignment horizontal="center" vertical="center"/>
    </xf>
    <xf fontId="23425" applyFont="true" borderId="8" applyBorder="true" applyNumberFormat="true" numFmtId="167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" fillId="22" applyFill="true">
      <alignment horizontal="center" vertical="center"/>
    </xf>
    <xf fontId="23428" applyFont="true" borderId="8" applyBorder="true" applyNumberFormat="true" numFmtId="1" fillId="22" applyFill="true">
      <alignment horizontal="center" vertical="center"/>
    </xf>
    <xf fontId="23429" applyFont="true" borderId="8" applyBorder="true" applyNumberFormat="true" numFmtId="167" fillId="22" applyFill="true">
      <alignment horizontal="center" vertical="center"/>
    </xf>
    <xf fontId="23430" applyFont="true" borderId="8" applyBorder="true" applyNumberFormat="true" numFmtId="166" fillId="22" applyFill="true">
      <alignment horizontal="center" vertical="center"/>
    </xf>
    <xf fontId="23431" applyFont="true" borderId="8" applyBorder="true" applyNumberFormat="true" numFmtId="166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67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1" fillId="22" applyFill="true">
      <alignment horizontal="center" vertical="center"/>
    </xf>
    <xf fontId="23446" applyFont="true" borderId="8" applyBorder="true" applyNumberFormat="true" numFmtId="167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2" fillId="22" applyFill="true">
      <alignment horizontal="center" vertical="center"/>
    </xf>
    <xf fontId="23480" applyFont="true" borderId="8" applyBorder="true" applyNumberFormat="true" numFmtId="2" fillId="22" applyFill="true">
      <alignment horizontal="center" vertical="center"/>
    </xf>
    <xf fontId="23481" applyFont="true" borderId="8" applyBorder="true" applyNumberFormat="true" numFmtId="165" fillId="19" applyFill="true">
      <alignment horizontal="left" vertical="center"/>
    </xf>
    <xf fontId="23482" applyFont="true" borderId="8" applyBorder="true" applyNumberFormat="true" numFmtId="165" fillId="22" applyFill="true">
      <alignment horizontal="center" vertical="center"/>
    </xf>
    <xf fontId="23483" applyFont="true" borderId="8" applyBorder="true" applyNumberFormat="true" numFmtId="166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" fillId="22" applyFill="true">
      <alignment horizontal="center" vertical="center"/>
    </xf>
    <xf fontId="23490" applyFont="true" borderId="8" applyBorder="true" applyNumberFormat="true" numFmtId="1" fillId="22" applyFill="true">
      <alignment horizontal="center" vertical="center"/>
    </xf>
    <xf fontId="23491" applyFont="true" borderId="8" applyBorder="true" applyNumberFormat="true" numFmtId="165" fillId="22" applyFill="true">
      <alignment horizontal="center" vertical="center"/>
    </xf>
    <xf fontId="23492" applyFont="true" borderId="8" applyBorder="true" applyNumberFormat="true" numFmtId="165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" fillId="22" applyFill="true">
      <alignment horizontal="center" vertical="center"/>
    </xf>
    <xf fontId="23502" applyFont="true" borderId="8" applyBorder="true" applyNumberFormat="true" numFmtId="167" fillId="22" applyFill="true">
      <alignment horizontal="center" vertical="center"/>
    </xf>
    <xf fontId="23503" applyFont="true" borderId="8" applyBorder="true" applyNumberFormat="true" numFmtId="167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" fillId="22" applyFill="true">
      <alignment horizontal="center" vertical="center"/>
    </xf>
    <xf fontId="23506" applyFont="true" borderId="8" applyBorder="true" applyNumberFormat="true" numFmtId="1" fillId="22" applyFill="true">
      <alignment horizontal="center" vertical="center"/>
    </xf>
    <xf fontId="23507" applyFont="true" borderId="8" applyBorder="true" applyNumberFormat="true" numFmtId="167" fillId="22" applyFill="true">
      <alignment horizontal="center" vertical="center"/>
    </xf>
    <xf fontId="23508" applyFont="true" borderId="8" applyBorder="true" applyNumberFormat="true" numFmtId="166" fillId="22" applyFill="true">
      <alignment horizontal="center" vertical="center"/>
    </xf>
    <xf fontId="23509" applyFont="true" borderId="8" applyBorder="true" applyNumberFormat="true" numFmtId="166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67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1" fillId="22" applyFill="true">
      <alignment horizontal="center" vertical="center"/>
    </xf>
    <xf fontId="23524" applyFont="true" borderId="8" applyBorder="true" applyNumberFormat="true" numFmtId="167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2" fillId="22" applyFill="true">
      <alignment horizontal="center" vertical="center"/>
    </xf>
    <xf fontId="23558" applyFont="true" borderId="8" applyBorder="true" applyNumberFormat="true" numFmtId="2" fillId="22" applyFill="true">
      <alignment horizontal="center" vertical="center"/>
    </xf>
    <xf fontId="23559" applyFont="true" borderId="8" applyBorder="true" applyNumberFormat="true" numFmtId="165" fillId="19" applyFill="true">
      <alignment horizontal="left" vertical="center"/>
    </xf>
    <xf fontId="23560" applyFont="true" borderId="8" applyBorder="true" applyNumberFormat="true" numFmtId="165" fillId="22" applyFill="true">
      <alignment horizontal="center" vertical="center"/>
    </xf>
    <xf fontId="23561" applyFont="true" borderId="8" applyBorder="true" applyNumberFormat="true" numFmtId="166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" fillId="22" applyFill="true">
      <alignment horizontal="center" vertical="center"/>
    </xf>
    <xf fontId="23568" applyFont="true" borderId="8" applyBorder="true" applyNumberFormat="true" numFmtId="1" fillId="22" applyFill="true">
      <alignment horizontal="center" vertical="center"/>
    </xf>
    <xf fontId="23569" applyFont="true" borderId="8" applyBorder="true" applyNumberFormat="true" numFmtId="165" fillId="22" applyFill="true">
      <alignment horizontal="center" vertical="center"/>
    </xf>
    <xf fontId="23570" applyFont="true" borderId="8" applyBorder="true" applyNumberFormat="true" numFmtId="165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" fillId="22" applyFill="true">
      <alignment horizontal="center" vertical="center"/>
    </xf>
    <xf fontId="23580" applyFont="true" borderId="8" applyBorder="true" applyNumberFormat="true" numFmtId="167" fillId="22" applyFill="true">
      <alignment horizontal="center" vertical="center"/>
    </xf>
    <xf fontId="23581" applyFont="true" borderId="8" applyBorder="true" applyNumberFormat="true" numFmtId="167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" fillId="22" applyFill="true">
      <alignment horizontal="center" vertical="center"/>
    </xf>
    <xf fontId="23584" applyFont="true" borderId="8" applyBorder="true" applyNumberFormat="true" numFmtId="1" fillId="22" applyFill="true">
      <alignment horizontal="center" vertical="center"/>
    </xf>
    <xf fontId="23585" applyFont="true" borderId="8" applyBorder="true" applyNumberFormat="true" numFmtId="167" fillId="22" applyFill="true">
      <alignment horizontal="center" vertical="center"/>
    </xf>
    <xf fontId="23586" applyFont="true" borderId="8" applyBorder="true" applyNumberFormat="true" numFmtId="166" fillId="22" applyFill="true">
      <alignment horizontal="center" vertical="center"/>
    </xf>
    <xf fontId="23587" applyFont="true" borderId="8" applyBorder="true" applyNumberFormat="true" numFmtId="166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67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1" fillId="22" applyFill="true">
      <alignment horizontal="center" vertical="center"/>
    </xf>
    <xf fontId="23602" applyFont="true" borderId="8" applyBorder="true" applyNumberFormat="true" numFmtId="167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2" fillId="22" applyFill="true">
      <alignment horizontal="center" vertical="center"/>
    </xf>
    <xf fontId="23636" applyFont="true" borderId="8" applyBorder="true" applyNumberFormat="true" numFmtId="2" fillId="22" applyFill="true">
      <alignment horizontal="center" vertical="center"/>
    </xf>
    <xf fontId="23637" applyFont="true" borderId="8" applyBorder="true" applyNumberFormat="true" numFmtId="165" fillId="19" applyFill="true">
      <alignment horizontal="left" vertical="center"/>
    </xf>
    <xf fontId="23638" applyFont="true" borderId="8" applyBorder="true" applyNumberFormat="true" numFmtId="165" fillId="22" applyFill="true">
      <alignment horizontal="center" vertical="center"/>
    </xf>
    <xf fontId="23639" applyFont="true" borderId="8" applyBorder="true" applyNumberFormat="true" numFmtId="166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" fillId="22" applyFill="true">
      <alignment horizontal="center" vertical="center"/>
    </xf>
    <xf fontId="23646" applyFont="true" borderId="8" applyBorder="true" applyNumberFormat="true" numFmtId="1" fillId="22" applyFill="true">
      <alignment horizontal="center" vertical="center"/>
    </xf>
    <xf fontId="23647" applyFont="true" borderId="8" applyBorder="true" applyNumberFormat="true" numFmtId="165" fillId="22" applyFill="true">
      <alignment horizontal="center" vertical="center"/>
    </xf>
    <xf fontId="23648" applyFont="true" borderId="8" applyBorder="true" applyNumberFormat="true" numFmtId="165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" fillId="22" applyFill="true">
      <alignment horizontal="center" vertical="center"/>
    </xf>
    <xf fontId="23658" applyFont="true" borderId="8" applyBorder="true" applyNumberFormat="true" numFmtId="167" fillId="22" applyFill="true">
      <alignment horizontal="center" vertical="center"/>
    </xf>
    <xf fontId="23659" applyFont="true" borderId="8" applyBorder="true" applyNumberFormat="true" numFmtId="167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" fillId="22" applyFill="true">
      <alignment horizontal="center" vertical="center"/>
    </xf>
    <xf fontId="23662" applyFont="true" borderId="8" applyBorder="true" applyNumberFormat="true" numFmtId="1" fillId="22" applyFill="true">
      <alignment horizontal="center" vertical="center"/>
    </xf>
    <xf fontId="23663" applyFont="true" borderId="8" applyBorder="true" applyNumberFormat="true" numFmtId="167" fillId="22" applyFill="true">
      <alignment horizontal="center" vertical="center"/>
    </xf>
    <xf fontId="23664" applyFont="true" borderId="8" applyBorder="true" applyNumberFormat="true" numFmtId="166" fillId="22" applyFill="true">
      <alignment horizontal="center" vertical="center"/>
    </xf>
    <xf fontId="23665" applyFont="true" borderId="8" applyBorder="true" applyNumberFormat="true" numFmtId="166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67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1" fillId="22" applyFill="true">
      <alignment horizontal="center" vertical="center"/>
    </xf>
    <xf fontId="23680" applyFont="true" borderId="8" applyBorder="true" applyNumberFormat="true" numFmtId="167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2" fillId="22" applyFill="true">
      <alignment horizontal="center" vertical="center"/>
    </xf>
    <xf fontId="23714" applyFont="true" borderId="8" applyBorder="true" applyNumberFormat="true" numFmtId="2" fillId="22" applyFill="true">
      <alignment horizontal="center" vertical="center"/>
    </xf>
    <xf fontId="23715" applyFont="true" borderId="8" applyBorder="true" applyNumberFormat="true" numFmtId="165" fillId="19" applyFill="true">
      <alignment horizontal="left" vertical="center"/>
    </xf>
    <xf fontId="23716" applyFont="true" borderId="8" applyBorder="true" applyNumberFormat="true" numFmtId="165" fillId="22" applyFill="true">
      <alignment horizontal="center" vertical="center"/>
    </xf>
    <xf fontId="23717" applyFont="true" borderId="8" applyBorder="true" applyNumberFormat="true" numFmtId="166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" fillId="22" applyFill="true">
      <alignment horizontal="center" vertical="center"/>
    </xf>
    <xf fontId="23724" applyFont="true" borderId="8" applyBorder="true" applyNumberFormat="true" numFmtId="1" fillId="22" applyFill="true">
      <alignment horizontal="center" vertical="center"/>
    </xf>
    <xf fontId="23725" applyFont="true" borderId="8" applyBorder="true" applyNumberFormat="true" numFmtId="165" fillId="22" applyFill="true">
      <alignment horizontal="center" vertical="center"/>
    </xf>
    <xf fontId="23726" applyFont="true" borderId="8" applyBorder="true" applyNumberFormat="true" numFmtId="165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" fillId="22" applyFill="true">
      <alignment horizontal="center" vertical="center"/>
    </xf>
    <xf fontId="23736" applyFont="true" borderId="8" applyBorder="true" applyNumberFormat="true" numFmtId="167" fillId="22" applyFill="true">
      <alignment horizontal="center" vertical="center"/>
    </xf>
    <xf fontId="23737" applyFont="true" borderId="8" applyBorder="true" applyNumberFormat="true" numFmtId="167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" fillId="22" applyFill="true">
      <alignment horizontal="center" vertical="center"/>
    </xf>
    <xf fontId="23740" applyFont="true" borderId="8" applyBorder="true" applyNumberFormat="true" numFmtId="1" fillId="22" applyFill="true">
      <alignment horizontal="center" vertical="center"/>
    </xf>
    <xf fontId="23741" applyFont="true" borderId="8" applyBorder="true" applyNumberFormat="true" numFmtId="167" fillId="22" applyFill="true">
      <alignment horizontal="center" vertical="center"/>
    </xf>
    <xf fontId="23742" applyFont="true" borderId="8" applyBorder="true" applyNumberFormat="true" numFmtId="166" fillId="22" applyFill="true">
      <alignment horizontal="center" vertical="center"/>
    </xf>
    <xf fontId="23743" applyFont="true" borderId="8" applyBorder="true" applyNumberFormat="true" numFmtId="166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67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1" fillId="22" applyFill="true">
      <alignment horizontal="center" vertical="center"/>
    </xf>
    <xf fontId="23758" applyFont="true" borderId="8" applyBorder="true" applyNumberFormat="true" numFmtId="167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2" fillId="22" applyFill="true">
      <alignment horizontal="center" vertical="center"/>
    </xf>
    <xf fontId="23792" applyFont="true" borderId="8" applyBorder="true" applyNumberFormat="true" numFmtId="2" fillId="22" applyFill="true">
      <alignment horizontal="center" vertical="center"/>
    </xf>
    <xf fontId="23793" applyFont="true" borderId="8" applyBorder="true" applyNumberFormat="true" numFmtId="165" fillId="19" applyFill="true">
      <alignment horizontal="left" vertical="center"/>
    </xf>
    <xf fontId="23794" applyFont="true" borderId="8" applyBorder="true" applyNumberFormat="true" numFmtId="165" fillId="22" applyFill="true">
      <alignment horizontal="center" vertical="center"/>
    </xf>
    <xf fontId="23795" applyFont="true" borderId="8" applyBorder="true" applyNumberFormat="true" numFmtId="166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" fillId="22" applyFill="true">
      <alignment horizontal="center" vertical="center"/>
    </xf>
    <xf fontId="23802" applyFont="true" borderId="8" applyBorder="true" applyNumberFormat="true" numFmtId="1" fillId="22" applyFill="true">
      <alignment horizontal="center" vertical="center"/>
    </xf>
    <xf fontId="23803" applyFont="true" borderId="8" applyBorder="true" applyNumberFormat="true" numFmtId="165" fillId="22" applyFill="true">
      <alignment horizontal="center" vertical="center"/>
    </xf>
    <xf fontId="23804" applyFont="true" borderId="8" applyBorder="true" applyNumberFormat="true" numFmtId="165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" fillId="22" applyFill="true">
      <alignment horizontal="center" vertical="center"/>
    </xf>
    <xf fontId="23814" applyFont="true" borderId="8" applyBorder="true" applyNumberFormat="true" numFmtId="167" fillId="22" applyFill="true">
      <alignment horizontal="center" vertical="center"/>
    </xf>
    <xf fontId="23815" applyFont="true" borderId="8" applyBorder="true" applyNumberFormat="true" numFmtId="167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" fillId="22" applyFill="true">
      <alignment horizontal="center" vertical="center"/>
    </xf>
    <xf fontId="23818" applyFont="true" borderId="8" applyBorder="true" applyNumberFormat="true" numFmtId="1" fillId="22" applyFill="true">
      <alignment horizontal="center" vertical="center"/>
    </xf>
    <xf fontId="23819" applyFont="true" borderId="8" applyBorder="true" applyNumberFormat="true" numFmtId="167" fillId="22" applyFill="true">
      <alignment horizontal="center" vertical="center"/>
    </xf>
    <xf fontId="23820" applyFont="true" borderId="8" applyBorder="true" applyNumberFormat="true" numFmtId="166" fillId="22" applyFill="true">
      <alignment horizontal="center" vertical="center"/>
    </xf>
    <xf fontId="23821" applyFont="true" borderId="8" applyBorder="true" applyNumberFormat="true" numFmtId="166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67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1" fillId="22" applyFill="true">
      <alignment horizontal="center" vertical="center"/>
    </xf>
    <xf fontId="23836" applyFont="true" borderId="8" applyBorder="true" applyNumberFormat="true" numFmtId="167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2" fillId="22" applyFill="true">
      <alignment horizontal="center" vertical="center"/>
    </xf>
    <xf fontId="23870" applyFont="true" borderId="8" applyBorder="true" applyNumberFormat="true" numFmtId="2" fillId="22" applyFill="true">
      <alignment horizontal="center" vertical="center"/>
    </xf>
    <xf fontId="23871" applyFont="true" borderId="8" applyBorder="true" applyNumberFormat="true" numFmtId="165" fillId="19" applyFill="true">
      <alignment horizontal="left" vertical="center"/>
    </xf>
    <xf fontId="23872" applyFont="true" borderId="8" applyBorder="true" applyNumberFormat="true" numFmtId="165" fillId="22" applyFill="true">
      <alignment horizontal="center" vertical="center"/>
    </xf>
    <xf fontId="23873" applyFont="true" borderId="8" applyBorder="true" applyNumberFormat="true" numFmtId="166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" fillId="22" applyFill="true">
      <alignment horizontal="center" vertical="center"/>
    </xf>
    <xf fontId="23880" applyFont="true" borderId="8" applyBorder="true" applyNumberFormat="true" numFmtId="1" fillId="22" applyFill="true">
      <alignment horizontal="center" vertical="center"/>
    </xf>
    <xf fontId="23881" applyFont="true" borderId="8" applyBorder="true" applyNumberFormat="true" numFmtId="165" fillId="22" applyFill="true">
      <alignment horizontal="center" vertical="center"/>
    </xf>
    <xf fontId="23882" applyFont="true" borderId="8" applyBorder="true" applyNumberFormat="true" numFmtId="165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" fillId="22" applyFill="true">
      <alignment horizontal="center" vertical="center"/>
    </xf>
    <xf fontId="23892" applyFont="true" borderId="8" applyBorder="true" applyNumberFormat="true" numFmtId="167" fillId="22" applyFill="true">
      <alignment horizontal="center" vertical="center"/>
    </xf>
    <xf fontId="23893" applyFont="true" borderId="8" applyBorder="true" applyNumberFormat="true" numFmtId="167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" fillId="22" applyFill="true">
      <alignment horizontal="center" vertical="center"/>
    </xf>
    <xf fontId="23896" applyFont="true" borderId="8" applyBorder="true" applyNumberFormat="true" numFmtId="1" fillId="22" applyFill="true">
      <alignment horizontal="center" vertical="center"/>
    </xf>
    <xf fontId="23897" applyFont="true" borderId="8" applyBorder="true" applyNumberFormat="true" numFmtId="167" fillId="22" applyFill="true">
      <alignment horizontal="center" vertical="center"/>
    </xf>
    <xf fontId="23898" applyFont="true" borderId="8" applyBorder="true" applyNumberFormat="true" numFmtId="166" fillId="22" applyFill="true">
      <alignment horizontal="center" vertical="center"/>
    </xf>
    <xf fontId="23899" applyFont="true" borderId="8" applyBorder="true" applyNumberFormat="true" numFmtId="166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67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1" fillId="22" applyFill="true">
      <alignment horizontal="center" vertical="center"/>
    </xf>
    <xf fontId="23914" applyFont="true" borderId="8" applyBorder="true" applyNumberFormat="true" numFmtId="167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2" fillId="22" applyFill="true">
      <alignment horizontal="center" vertical="center"/>
    </xf>
    <xf fontId="23948" applyFont="true" borderId="8" applyBorder="true" applyNumberFormat="true" numFmtId="2" fillId="22" applyFill="true">
      <alignment horizontal="center" vertical="center"/>
    </xf>
    <xf fontId="23949" applyFont="true" borderId="8" applyBorder="true" applyNumberFormat="true" numFmtId="165" fillId="19" applyFill="true">
      <alignment horizontal="left" vertical="center"/>
    </xf>
    <xf fontId="23950" applyFont="true" borderId="8" applyBorder="true" applyNumberFormat="true" numFmtId="165" fillId="22" applyFill="true">
      <alignment horizontal="center" vertical="center"/>
    </xf>
    <xf fontId="23951" applyFont="true" borderId="8" applyBorder="true" applyNumberFormat="true" numFmtId="166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" fillId="22" applyFill="true">
      <alignment horizontal="center" vertical="center"/>
    </xf>
    <xf fontId="23958" applyFont="true" borderId="8" applyBorder="true" applyNumberFormat="true" numFmtId="1" fillId="22" applyFill="true">
      <alignment horizontal="center" vertical="center"/>
    </xf>
    <xf fontId="23959" applyFont="true" borderId="8" applyBorder="true" applyNumberFormat="true" numFmtId="165" fillId="22" applyFill="true">
      <alignment horizontal="center" vertical="center"/>
    </xf>
    <xf fontId="23960" applyFont="true" borderId="8" applyBorder="true" applyNumberFormat="true" numFmtId="165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" fillId="22" applyFill="true">
      <alignment horizontal="center" vertical="center"/>
    </xf>
    <xf fontId="23970" applyFont="true" borderId="8" applyBorder="true" applyNumberFormat="true" numFmtId="167" fillId="22" applyFill="true">
      <alignment horizontal="center" vertical="center"/>
    </xf>
    <xf fontId="23971" applyFont="true" borderId="8" applyBorder="true" applyNumberFormat="true" numFmtId="167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" fillId="22" applyFill="true">
      <alignment horizontal="center" vertical="center"/>
    </xf>
    <xf fontId="23974" applyFont="true" borderId="8" applyBorder="true" applyNumberFormat="true" numFmtId="1" fillId="22" applyFill="true">
      <alignment horizontal="center" vertical="center"/>
    </xf>
    <xf fontId="23975" applyFont="true" borderId="8" applyBorder="true" applyNumberFormat="true" numFmtId="167" fillId="22" applyFill="true">
      <alignment horizontal="center" vertical="center"/>
    </xf>
    <xf fontId="23976" applyFont="true" borderId="8" applyBorder="true" applyNumberFormat="true" numFmtId="166" fillId="22" applyFill="true">
      <alignment horizontal="center" vertical="center"/>
    </xf>
    <xf fontId="23977" applyFont="true" borderId="8" applyBorder="true" applyNumberFormat="true" numFmtId="166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67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1" fillId="22" applyFill="true">
      <alignment horizontal="center" vertical="center"/>
    </xf>
    <xf fontId="23992" applyFont="true" borderId="8" applyBorder="true" applyNumberFormat="true" numFmtId="167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2" fillId="22" applyFill="true">
      <alignment horizontal="center" vertical="center"/>
    </xf>
    <xf fontId="24026" applyFont="true" borderId="8" applyBorder="true" applyNumberFormat="true" numFmtId="2" fillId="22" applyFill="true">
      <alignment horizontal="center" vertical="center"/>
    </xf>
    <xf fontId="24027" applyFont="true" borderId="8" applyBorder="true" applyNumberFormat="true" numFmtId="165" fillId="19" applyFill="true">
      <alignment horizontal="left" vertical="center"/>
    </xf>
    <xf fontId="24028" applyFont="true" borderId="8" applyBorder="true" applyNumberFormat="true" numFmtId="165" fillId="22" applyFill="true">
      <alignment horizontal="center" vertical="center"/>
    </xf>
    <xf fontId="24029" applyFont="true" borderId="8" applyBorder="true" applyNumberFormat="true" numFmtId="166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" fillId="22" applyFill="true">
      <alignment horizontal="center" vertical="center"/>
    </xf>
    <xf fontId="24036" applyFont="true" borderId="8" applyBorder="true" applyNumberFormat="true" numFmtId="1" fillId="22" applyFill="true">
      <alignment horizontal="center" vertical="center"/>
    </xf>
    <xf fontId="24037" applyFont="true" borderId="8" applyBorder="true" applyNumberFormat="true" numFmtId="165" fillId="22" applyFill="true">
      <alignment horizontal="center" vertical="center"/>
    </xf>
    <xf fontId="24038" applyFont="true" borderId="8" applyBorder="true" applyNumberFormat="true" numFmtId="165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" fillId="22" applyFill="true">
      <alignment horizontal="center" vertical="center"/>
    </xf>
    <xf fontId="24048" applyFont="true" borderId="8" applyBorder="true" applyNumberFormat="true" numFmtId="167" fillId="22" applyFill="true">
      <alignment horizontal="center" vertical="center"/>
    </xf>
    <xf fontId="24049" applyFont="true" borderId="8" applyBorder="true" applyNumberFormat="true" numFmtId="167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" fillId="22" applyFill="true">
      <alignment horizontal="center" vertical="center"/>
    </xf>
    <xf fontId="24052" applyFont="true" borderId="8" applyBorder="true" applyNumberFormat="true" numFmtId="1" fillId="22" applyFill="true">
      <alignment horizontal="center" vertical="center"/>
    </xf>
    <xf fontId="24053" applyFont="true" borderId="8" applyBorder="true" applyNumberFormat="true" numFmtId="167" fillId="22" applyFill="true">
      <alignment horizontal="center" vertical="center"/>
    </xf>
    <xf fontId="24054" applyFont="true" borderId="8" applyBorder="true" applyNumberFormat="true" numFmtId="166" fillId="22" applyFill="true">
      <alignment horizontal="center" vertical="center"/>
    </xf>
    <xf fontId="24055" applyFont="true" borderId="8" applyBorder="true" applyNumberFormat="true" numFmtId="166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67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1" fillId="22" applyFill="true">
      <alignment horizontal="center" vertical="center"/>
    </xf>
    <xf fontId="24070" applyFont="true" borderId="8" applyBorder="true" applyNumberFormat="true" numFmtId="167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2" fillId="22" applyFill="true">
      <alignment horizontal="center" vertical="center"/>
    </xf>
    <xf fontId="24104" applyFont="true" borderId="8" applyBorder="true" applyNumberFormat="true" numFmtId="2" fillId="22" applyFill="true">
      <alignment horizontal="center" vertical="center"/>
    </xf>
    <xf fontId="24105" applyFont="true" borderId="8" applyBorder="true" applyNumberFormat="true" numFmtId="165" fillId="19" applyFill="true">
      <alignment horizontal="left" vertical="center"/>
    </xf>
    <xf fontId="24106" applyFont="true" borderId="8" applyBorder="true" applyNumberFormat="true" numFmtId="165" fillId="22" applyFill="true">
      <alignment horizontal="center" vertical="center"/>
    </xf>
    <xf fontId="24107" applyFont="true" borderId="8" applyBorder="true" applyNumberFormat="true" numFmtId="166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" fillId="22" applyFill="true">
      <alignment horizontal="center" vertical="center"/>
    </xf>
    <xf fontId="24114" applyFont="true" borderId="8" applyBorder="true" applyNumberFormat="true" numFmtId="1" fillId="22" applyFill="true">
      <alignment horizontal="center" vertical="center"/>
    </xf>
    <xf fontId="24115" applyFont="true" borderId="8" applyBorder="true" applyNumberFormat="true" numFmtId="165" fillId="22" applyFill="true">
      <alignment horizontal="center" vertical="center"/>
    </xf>
    <xf fontId="24116" applyFont="true" borderId="8" applyBorder="true" applyNumberFormat="true" numFmtId="165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" fillId="22" applyFill="true">
      <alignment horizontal="center" vertical="center"/>
    </xf>
    <xf fontId="24126" applyFont="true" borderId="8" applyBorder="true" applyNumberFormat="true" numFmtId="167" fillId="22" applyFill="true">
      <alignment horizontal="center" vertical="center"/>
    </xf>
    <xf fontId="24127" applyFont="true" borderId="8" applyBorder="true" applyNumberFormat="true" numFmtId="167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" fillId="22" applyFill="true">
      <alignment horizontal="center" vertical="center"/>
    </xf>
    <xf fontId="24130" applyFont="true" borderId="8" applyBorder="true" applyNumberFormat="true" numFmtId="1" fillId="22" applyFill="true">
      <alignment horizontal="center" vertical="center"/>
    </xf>
    <xf fontId="24131" applyFont="true" borderId="8" applyBorder="true" applyNumberFormat="true" numFmtId="167" fillId="22" applyFill="true">
      <alignment horizontal="center" vertical="center"/>
    </xf>
    <xf fontId="24132" applyFont="true" borderId="8" applyBorder="true" applyNumberFormat="true" numFmtId="166" fillId="22" applyFill="true">
      <alignment horizontal="center" vertical="center"/>
    </xf>
    <xf fontId="24133" applyFont="true" borderId="8" applyBorder="true" applyNumberFormat="true" numFmtId="166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67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1" fillId="22" applyFill="true">
      <alignment horizontal="center" vertical="center"/>
    </xf>
    <xf fontId="24148" applyFont="true" borderId="8" applyBorder="true" applyNumberFormat="true" numFmtId="167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2" fillId="22" applyFill="true">
      <alignment horizontal="center" vertical="center"/>
    </xf>
    <xf fontId="24182" applyFont="true" borderId="8" applyBorder="true" applyNumberFormat="true" numFmtId="2" fillId="22" applyFill="true">
      <alignment horizontal="center" vertical="center"/>
    </xf>
    <xf fontId="24183" applyFont="true" borderId="8" applyBorder="true" applyNumberFormat="true" numFmtId="165" fillId="19" applyFill="true">
      <alignment horizontal="left" vertical="center"/>
    </xf>
    <xf fontId="24184" applyFont="true" borderId="8" applyBorder="true" applyNumberFormat="true" numFmtId="165" fillId="22" applyFill="true">
      <alignment horizontal="center" vertical="center"/>
    </xf>
    <xf fontId="24185" applyFont="true" borderId="8" applyBorder="true" applyNumberFormat="true" numFmtId="166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" fillId="22" applyFill="true">
      <alignment horizontal="center" vertical="center"/>
    </xf>
    <xf fontId="24192" applyFont="true" borderId="8" applyBorder="true" applyNumberFormat="true" numFmtId="1" fillId="22" applyFill="true">
      <alignment horizontal="center" vertical="center"/>
    </xf>
    <xf fontId="24193" applyFont="true" borderId="8" applyBorder="true" applyNumberFormat="true" numFmtId="165" fillId="22" applyFill="true">
      <alignment horizontal="center" vertical="center"/>
    </xf>
    <xf fontId="24194" applyFont="true" borderId="8" applyBorder="true" applyNumberFormat="true" numFmtId="165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" fillId="22" applyFill="true">
      <alignment horizontal="center" vertical="center"/>
    </xf>
    <xf fontId="24204" applyFont="true" borderId="8" applyBorder="true" applyNumberFormat="true" numFmtId="167" fillId="22" applyFill="true">
      <alignment horizontal="center" vertical="center"/>
    </xf>
    <xf fontId="24205" applyFont="true" borderId="8" applyBorder="true" applyNumberFormat="true" numFmtId="167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" fillId="22" applyFill="true">
      <alignment horizontal="center" vertical="center"/>
    </xf>
    <xf fontId="24208" applyFont="true" borderId="8" applyBorder="true" applyNumberFormat="true" numFmtId="1" fillId="22" applyFill="true">
      <alignment horizontal="center" vertical="center"/>
    </xf>
    <xf fontId="24209" applyFont="true" borderId="8" applyBorder="true" applyNumberFormat="true" numFmtId="167" fillId="22" applyFill="true">
      <alignment horizontal="center" vertical="center"/>
    </xf>
    <xf fontId="24210" applyFont="true" borderId="8" applyBorder="true" applyNumberFormat="true" numFmtId="166" fillId="22" applyFill="true">
      <alignment horizontal="center" vertical="center"/>
    </xf>
    <xf fontId="24211" applyFont="true" borderId="8" applyBorder="true" applyNumberFormat="true" numFmtId="166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67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1" fillId="22" applyFill="true">
      <alignment horizontal="center" vertical="center"/>
    </xf>
    <xf fontId="24226" applyFont="true" borderId="8" applyBorder="true" applyNumberFormat="true" numFmtId="167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2" fillId="22" applyFill="true">
      <alignment horizontal="center" vertical="center"/>
    </xf>
    <xf fontId="24260" applyFont="true" borderId="8" applyBorder="true" applyNumberFormat="true" numFmtId="2" fillId="22" applyFill="true">
      <alignment horizontal="center" vertical="center"/>
    </xf>
    <xf fontId="24261" applyFont="true" borderId="8" applyBorder="true" applyNumberFormat="true" numFmtId="165" fillId="19" applyFill="true">
      <alignment horizontal="left" vertical="center"/>
    </xf>
    <xf fontId="24262" applyFont="true" borderId="8" applyBorder="true" applyNumberFormat="true" numFmtId="165" fillId="22" applyFill="true">
      <alignment horizontal="center" vertical="center"/>
    </xf>
    <xf fontId="24263" applyFont="true" borderId="8" applyBorder="true" applyNumberFormat="true" numFmtId="166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" fillId="22" applyFill="true">
      <alignment horizontal="center" vertical="center"/>
    </xf>
    <xf fontId="24270" applyFont="true" borderId="8" applyBorder="true" applyNumberFormat="true" numFmtId="1" fillId="22" applyFill="true">
      <alignment horizontal="center" vertical="center"/>
    </xf>
    <xf fontId="24271" applyFont="true" borderId="8" applyBorder="true" applyNumberFormat="true" numFmtId="165" fillId="22" applyFill="true">
      <alignment horizontal="center" vertical="center"/>
    </xf>
    <xf fontId="24272" applyFont="true" borderId="8" applyBorder="true" applyNumberFormat="true" numFmtId="165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" fillId="22" applyFill="true">
      <alignment horizontal="center" vertical="center"/>
    </xf>
    <xf fontId="24282" applyFont="true" borderId="8" applyBorder="true" applyNumberFormat="true" numFmtId="167" fillId="22" applyFill="true">
      <alignment horizontal="center" vertical="center"/>
    </xf>
    <xf fontId="24283" applyFont="true" borderId="8" applyBorder="true" applyNumberFormat="true" numFmtId="167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" fillId="22" applyFill="true">
      <alignment horizontal="center" vertical="center"/>
    </xf>
    <xf fontId="24286" applyFont="true" borderId="8" applyBorder="true" applyNumberFormat="true" numFmtId="1" fillId="22" applyFill="true">
      <alignment horizontal="center" vertical="center"/>
    </xf>
    <xf fontId="24287" applyFont="true" borderId="8" applyBorder="true" applyNumberFormat="true" numFmtId="167" fillId="22" applyFill="true">
      <alignment horizontal="center" vertical="center"/>
    </xf>
    <xf fontId="24288" applyFont="true" borderId="8" applyBorder="true" applyNumberFormat="true" numFmtId="166" fillId="22" applyFill="true">
      <alignment horizontal="center" vertical="center"/>
    </xf>
    <xf fontId="24289" applyFont="true" borderId="8" applyBorder="true" applyNumberFormat="true" numFmtId="166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67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1" fillId="22" applyFill="true">
      <alignment horizontal="center" vertical="center"/>
    </xf>
    <xf fontId="24304" applyFont="true" borderId="8" applyBorder="true" applyNumberFormat="true" numFmtId="167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2" fillId="22" applyFill="true">
      <alignment horizontal="center" vertical="center"/>
    </xf>
    <xf fontId="24338" applyFont="true" borderId="8" applyBorder="true" applyNumberFormat="true" numFmtId="2" fillId="22" applyFill="true">
      <alignment horizontal="center" vertical="center"/>
    </xf>
    <xf fontId="24339" applyFont="true" borderId="8" applyBorder="true" applyNumberFormat="true" numFmtId="165" fillId="19" applyFill="true">
      <alignment horizontal="left" vertical="center"/>
    </xf>
    <xf fontId="24340" applyFont="true" borderId="8" applyBorder="true" applyNumberFormat="true" numFmtId="165" fillId="22" applyFill="true">
      <alignment horizontal="center" vertical="center"/>
    </xf>
    <xf fontId="24341" applyFont="true" borderId="8" applyBorder="true" applyNumberFormat="true" numFmtId="166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" fillId="22" applyFill="true">
      <alignment horizontal="center" vertical="center"/>
    </xf>
    <xf fontId="24348" applyFont="true" borderId="8" applyBorder="true" applyNumberFormat="true" numFmtId="1" fillId="22" applyFill="true">
      <alignment horizontal="center" vertical="center"/>
    </xf>
    <xf fontId="24349" applyFont="true" borderId="8" applyBorder="true" applyNumberFormat="true" numFmtId="165" fillId="22" applyFill="true">
      <alignment horizontal="center" vertical="center"/>
    </xf>
    <xf fontId="24350" applyFont="true" borderId="8" applyBorder="true" applyNumberFormat="true" numFmtId="165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" fillId="22" applyFill="true">
      <alignment horizontal="center" vertical="center"/>
    </xf>
    <xf fontId="24360" applyFont="true" borderId="8" applyBorder="true" applyNumberFormat="true" numFmtId="167" fillId="22" applyFill="true">
      <alignment horizontal="center" vertical="center"/>
    </xf>
    <xf fontId="24361" applyFont="true" borderId="8" applyBorder="true" applyNumberFormat="true" numFmtId="167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" fillId="22" applyFill="true">
      <alignment horizontal="center" vertical="center"/>
    </xf>
    <xf fontId="24364" applyFont="true" borderId="8" applyBorder="true" applyNumberFormat="true" numFmtId="1" fillId="22" applyFill="true">
      <alignment horizontal="center" vertical="center"/>
    </xf>
    <xf fontId="24365" applyFont="true" borderId="8" applyBorder="true" applyNumberFormat="true" numFmtId="167" fillId="22" applyFill="true">
      <alignment horizontal="center" vertical="center"/>
    </xf>
    <xf fontId="24366" applyFont="true" borderId="8" applyBorder="true" applyNumberFormat="true" numFmtId="166" fillId="22" applyFill="true">
      <alignment horizontal="center" vertical="center"/>
    </xf>
    <xf fontId="24367" applyFont="true" borderId="8" applyBorder="true" applyNumberFormat="true" numFmtId="166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67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1" fillId="22" applyFill="true">
      <alignment horizontal="center" vertical="center"/>
    </xf>
    <xf fontId="24382" applyFont="true" borderId="8" applyBorder="true" applyNumberFormat="true" numFmtId="167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2" fillId="22" applyFill="true">
      <alignment horizontal="center" vertical="center"/>
    </xf>
    <xf fontId="24416" applyFont="true" borderId="8" applyBorder="true" applyNumberFormat="true" numFmtId="2" fillId="22" applyFill="true">
      <alignment horizontal="center" vertical="center"/>
    </xf>
    <xf fontId="24417" applyFont="true" borderId="8" applyBorder="true" applyNumberFormat="true" numFmtId="165" fillId="19" applyFill="true">
      <alignment horizontal="left" vertical="center"/>
    </xf>
    <xf fontId="24418" applyFont="true" borderId="8" applyBorder="true" applyNumberFormat="true" numFmtId="165" fillId="22" applyFill="true">
      <alignment horizontal="center" vertical="center"/>
    </xf>
    <xf fontId="24419" applyFont="true" borderId="8" applyBorder="true" applyNumberFormat="true" numFmtId="166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" fillId="22" applyFill="true">
      <alignment horizontal="center" vertical="center"/>
    </xf>
    <xf fontId="24426" applyFont="true" borderId="8" applyBorder="true" applyNumberFormat="true" numFmtId="1" fillId="22" applyFill="true">
      <alignment horizontal="center" vertical="center"/>
    </xf>
    <xf fontId="24427" applyFont="true" borderId="8" applyBorder="true" applyNumberFormat="true" numFmtId="165" fillId="22" applyFill="true">
      <alignment horizontal="center" vertical="center"/>
    </xf>
    <xf fontId="24428" applyFont="true" borderId="8" applyBorder="true" applyNumberFormat="true" numFmtId="165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" fillId="22" applyFill="true">
      <alignment horizontal="center" vertical="center"/>
    </xf>
    <xf fontId="24438" applyFont="true" borderId="8" applyBorder="true" applyNumberFormat="true" numFmtId="167" fillId="22" applyFill="true">
      <alignment horizontal="center" vertical="center"/>
    </xf>
    <xf fontId="24439" applyFont="true" borderId="8" applyBorder="true" applyNumberFormat="true" numFmtId="167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" fillId="22" applyFill="true">
      <alignment horizontal="center" vertical="center"/>
    </xf>
    <xf fontId="24442" applyFont="true" borderId="8" applyBorder="true" applyNumberFormat="true" numFmtId="1" fillId="22" applyFill="true">
      <alignment horizontal="center" vertical="center"/>
    </xf>
    <xf fontId="24443" applyFont="true" borderId="8" applyBorder="true" applyNumberFormat="true" numFmtId="167" fillId="22" applyFill="true">
      <alignment horizontal="center" vertical="center"/>
    </xf>
    <xf fontId="24444" applyFont="true" borderId="8" applyBorder="true" applyNumberFormat="true" numFmtId="166" fillId="22" applyFill="true">
      <alignment horizontal="center" vertical="center"/>
    </xf>
    <xf fontId="24445" applyFont="true" borderId="8" applyBorder="true" applyNumberFormat="true" numFmtId="166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67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1" fillId="22" applyFill="true">
      <alignment horizontal="center" vertical="center"/>
    </xf>
    <xf fontId="24460" applyFont="true" borderId="8" applyBorder="true" applyNumberFormat="true" numFmtId="167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2" fillId="22" applyFill="true">
      <alignment horizontal="center" vertical="center"/>
    </xf>
    <xf fontId="24494" applyFont="true" borderId="8" applyBorder="true" applyNumberFormat="true" numFmtId="2" fillId="22" applyFill="true">
      <alignment horizontal="center" vertical="center"/>
    </xf>
    <xf fontId="24495" applyFont="true" borderId="8" applyBorder="true" applyNumberFormat="true" numFmtId="165" fillId="19" applyFill="true">
      <alignment horizontal="left" vertical="center"/>
    </xf>
    <xf fontId="24496" applyFont="true" borderId="8" applyBorder="true" applyNumberFormat="true" numFmtId="165" fillId="22" applyFill="true">
      <alignment horizontal="center" vertical="center"/>
    </xf>
    <xf fontId="24497" applyFont="true" borderId="8" applyBorder="true" applyNumberFormat="true" numFmtId="166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" fillId="22" applyFill="true">
      <alignment horizontal="center" vertical="center"/>
    </xf>
    <xf fontId="24504" applyFont="true" borderId="8" applyBorder="true" applyNumberFormat="true" numFmtId="1" fillId="22" applyFill="true">
      <alignment horizontal="center" vertical="center"/>
    </xf>
    <xf fontId="24505" applyFont="true" borderId="8" applyBorder="true" applyNumberFormat="true" numFmtId="165" fillId="22" applyFill="true">
      <alignment horizontal="center" vertical="center"/>
    </xf>
    <xf fontId="24506" applyFont="true" borderId="8" applyBorder="true" applyNumberFormat="true" numFmtId="165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" fillId="22" applyFill="true">
      <alignment horizontal="center" vertical="center"/>
    </xf>
    <xf fontId="24516" applyFont="true" borderId="8" applyBorder="true" applyNumberFormat="true" numFmtId="167" fillId="22" applyFill="true">
      <alignment horizontal="center" vertical="center"/>
    </xf>
    <xf fontId="24517" applyFont="true" borderId="8" applyBorder="true" applyNumberFormat="true" numFmtId="167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" fillId="22" applyFill="true">
      <alignment horizontal="center" vertical="center"/>
    </xf>
    <xf fontId="24520" applyFont="true" borderId="8" applyBorder="true" applyNumberFormat="true" numFmtId="1" fillId="22" applyFill="true">
      <alignment horizontal="center" vertical="center"/>
    </xf>
    <xf fontId="24521" applyFont="true" borderId="8" applyBorder="true" applyNumberFormat="true" numFmtId="167" fillId="22" applyFill="true">
      <alignment horizontal="center" vertical="center"/>
    </xf>
    <xf fontId="24522" applyFont="true" borderId="8" applyBorder="true" applyNumberFormat="true" numFmtId="166" fillId="22" applyFill="true">
      <alignment horizontal="center" vertical="center"/>
    </xf>
    <xf fontId="24523" applyFont="true" borderId="8" applyBorder="true" applyNumberFormat="true" numFmtId="166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67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1" fillId="22" applyFill="true">
      <alignment horizontal="center" vertical="center"/>
    </xf>
    <xf fontId="24538" applyFont="true" borderId="8" applyBorder="true" applyNumberFormat="true" numFmtId="167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2" fillId="22" applyFill="true">
      <alignment horizontal="center" vertical="center"/>
    </xf>
    <xf fontId="24572" applyFont="true" borderId="8" applyBorder="true" applyNumberFormat="true" numFmtId="2" fillId="22" applyFill="true">
      <alignment horizontal="center" vertical="center"/>
    </xf>
    <xf fontId="24573" applyFont="true" borderId="8" applyBorder="true" applyNumberFormat="true" numFmtId="165" fillId="19" applyFill="true">
      <alignment horizontal="left" vertical="center"/>
    </xf>
    <xf fontId="24574" applyFont="true" borderId="8" applyBorder="true" applyNumberFormat="true" numFmtId="165" fillId="22" applyFill="true">
      <alignment horizontal="center" vertical="center"/>
    </xf>
    <xf fontId="24575" applyFont="true" borderId="8" applyBorder="true" applyNumberFormat="true" numFmtId="166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" fillId="22" applyFill="true">
      <alignment horizontal="center" vertical="center"/>
    </xf>
    <xf fontId="24582" applyFont="true" borderId="8" applyBorder="true" applyNumberFormat="true" numFmtId="1" fillId="22" applyFill="true">
      <alignment horizontal="center" vertical="center"/>
    </xf>
    <xf fontId="24583" applyFont="true" borderId="8" applyBorder="true" applyNumberFormat="true" numFmtId="165" fillId="22" applyFill="true">
      <alignment horizontal="center" vertical="center"/>
    </xf>
    <xf fontId="24584" applyFont="true" borderId="8" applyBorder="true" applyNumberFormat="true" numFmtId="165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" fillId="22" applyFill="true">
      <alignment horizontal="center" vertical="center"/>
    </xf>
    <xf fontId="24594" applyFont="true" borderId="8" applyBorder="true" applyNumberFormat="true" numFmtId="167" fillId="22" applyFill="true">
      <alignment horizontal="center" vertical="center"/>
    </xf>
    <xf fontId="24595" applyFont="true" borderId="8" applyBorder="true" applyNumberFormat="true" numFmtId="167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" fillId="22" applyFill="true">
      <alignment horizontal="center" vertical="center"/>
    </xf>
    <xf fontId="24598" applyFont="true" borderId="8" applyBorder="true" applyNumberFormat="true" numFmtId="1" fillId="22" applyFill="true">
      <alignment horizontal="center" vertical="center"/>
    </xf>
    <xf fontId="24599" applyFont="true" borderId="8" applyBorder="true" applyNumberFormat="true" numFmtId="167" fillId="22" applyFill="true">
      <alignment horizontal="center" vertical="center"/>
    </xf>
    <xf fontId="24600" applyFont="true" borderId="8" applyBorder="true" applyNumberFormat="true" numFmtId="166" fillId="22" applyFill="true">
      <alignment horizontal="center" vertical="center"/>
    </xf>
    <xf fontId="24601" applyFont="true" borderId="8" applyBorder="true" applyNumberFormat="true" numFmtId="166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67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1" fillId="22" applyFill="true">
      <alignment horizontal="center" vertical="center"/>
    </xf>
    <xf fontId="24616" applyFont="true" borderId="8" applyBorder="true" applyNumberFormat="true" numFmtId="167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2" fillId="22" applyFill="true">
      <alignment horizontal="center" vertical="center"/>
    </xf>
    <xf fontId="24650" applyFont="true" borderId="8" applyBorder="true" applyNumberFormat="true" numFmtId="2" fillId="22" applyFill="true">
      <alignment horizontal="center" vertical="center"/>
    </xf>
    <xf fontId="24651" applyFont="true" borderId="8" applyBorder="true" applyNumberFormat="true" numFmtId="165" fillId="19" applyFill="true">
      <alignment horizontal="left" vertical="center"/>
    </xf>
    <xf fontId="24652" applyFont="true" borderId="8" applyBorder="true" applyNumberFormat="true" numFmtId="165" fillId="22" applyFill="true">
      <alignment horizontal="center" vertical="center"/>
    </xf>
    <xf fontId="24653" applyFont="true" borderId="8" applyBorder="true" applyNumberFormat="true" numFmtId="166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" fillId="22" applyFill="true">
      <alignment horizontal="center" vertical="center"/>
    </xf>
    <xf fontId="24660" applyFont="true" borderId="8" applyBorder="true" applyNumberFormat="true" numFmtId="1" fillId="22" applyFill="true">
      <alignment horizontal="center" vertical="center"/>
    </xf>
    <xf fontId="24661" applyFont="true" borderId="8" applyBorder="true" applyNumberFormat="true" numFmtId="165" fillId="22" applyFill="true">
      <alignment horizontal="center" vertical="center"/>
    </xf>
    <xf fontId="24662" applyFont="true" borderId="8" applyBorder="true" applyNumberFormat="true" numFmtId="165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" fillId="22" applyFill="true">
      <alignment horizontal="center" vertical="center"/>
    </xf>
    <xf fontId="24672" applyFont="true" borderId="8" applyBorder="true" applyNumberFormat="true" numFmtId="167" fillId="22" applyFill="true">
      <alignment horizontal="center" vertical="center"/>
    </xf>
    <xf fontId="24673" applyFont="true" borderId="8" applyBorder="true" applyNumberFormat="true" numFmtId="167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" fillId="22" applyFill="true">
      <alignment horizontal="center" vertical="center"/>
    </xf>
    <xf fontId="24676" applyFont="true" borderId="8" applyBorder="true" applyNumberFormat="true" numFmtId="1" fillId="22" applyFill="true">
      <alignment horizontal="center" vertical="center"/>
    </xf>
    <xf fontId="24677" applyFont="true" borderId="8" applyBorder="true" applyNumberFormat="true" numFmtId="167" fillId="22" applyFill="true">
      <alignment horizontal="center" vertical="center"/>
    </xf>
    <xf fontId="24678" applyFont="true" borderId="8" applyBorder="true" applyNumberFormat="true" numFmtId="166" fillId="22" applyFill="true">
      <alignment horizontal="center" vertical="center"/>
    </xf>
    <xf fontId="24679" applyFont="true" borderId="8" applyBorder="true" applyNumberFormat="true" numFmtId="166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67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1" fillId="22" applyFill="true">
      <alignment horizontal="center" vertical="center"/>
    </xf>
    <xf fontId="24694" applyFont="true" borderId="8" applyBorder="true" applyNumberFormat="true" numFmtId="167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2" fillId="22" applyFill="true">
      <alignment horizontal="center" vertical="center"/>
    </xf>
    <xf fontId="24728" applyFont="true" borderId="8" applyBorder="true" applyNumberFormat="true" numFmtId="2" fillId="22" applyFill="true">
      <alignment horizontal="center" vertical="center"/>
    </xf>
    <xf fontId="24729" applyFont="true" borderId="8" applyBorder="true" applyNumberFormat="true" numFmtId="165" fillId="19" applyFill="true">
      <alignment horizontal="left" vertical="center"/>
    </xf>
    <xf fontId="24730" applyFont="true" borderId="8" applyBorder="true" applyNumberFormat="true" numFmtId="165" fillId="22" applyFill="true">
      <alignment horizontal="center" vertical="center"/>
    </xf>
    <xf fontId="24731" applyFont="true" borderId="8" applyBorder="true" applyNumberFormat="true" numFmtId="166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" fillId="22" applyFill="true">
      <alignment horizontal="center" vertical="center"/>
    </xf>
    <xf fontId="24738" applyFont="true" borderId="8" applyBorder="true" applyNumberFormat="true" numFmtId="1" fillId="22" applyFill="true">
      <alignment horizontal="center" vertical="center"/>
    </xf>
    <xf fontId="24739" applyFont="true" borderId="8" applyBorder="true" applyNumberFormat="true" numFmtId="165" fillId="22" applyFill="true">
      <alignment horizontal="center" vertical="center"/>
    </xf>
    <xf fontId="24740" applyFont="true" borderId="8" applyBorder="true" applyNumberFormat="true" numFmtId="165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" fillId="22" applyFill="true">
      <alignment horizontal="center" vertical="center"/>
    </xf>
    <xf fontId="24750" applyFont="true" borderId="8" applyBorder="true" applyNumberFormat="true" numFmtId="167" fillId="22" applyFill="true">
      <alignment horizontal="center" vertical="center"/>
    </xf>
    <xf fontId="24751" applyFont="true" borderId="8" applyBorder="true" applyNumberFormat="true" numFmtId="167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" fillId="22" applyFill="true">
      <alignment horizontal="center" vertical="center"/>
    </xf>
    <xf fontId="24754" applyFont="true" borderId="8" applyBorder="true" applyNumberFormat="true" numFmtId="1" fillId="22" applyFill="true">
      <alignment horizontal="center" vertical="center"/>
    </xf>
    <xf fontId="24755" applyFont="true" borderId="8" applyBorder="true" applyNumberFormat="true" numFmtId="167" fillId="22" applyFill="true">
      <alignment horizontal="center" vertical="center"/>
    </xf>
    <xf fontId="24756" applyFont="true" borderId="8" applyBorder="true" applyNumberFormat="true" numFmtId="166" fillId="22" applyFill="true">
      <alignment horizontal="center" vertical="center"/>
    </xf>
    <xf fontId="24757" applyFont="true" borderId="8" applyBorder="true" applyNumberFormat="true" numFmtId="166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67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1" fillId="22" applyFill="true">
      <alignment horizontal="center" vertical="center"/>
    </xf>
    <xf fontId="24772" applyFont="true" borderId="8" applyBorder="true" applyNumberFormat="true" numFmtId="167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2" fillId="22" applyFill="true">
      <alignment horizontal="center" vertical="center"/>
    </xf>
    <xf fontId="24806" applyFont="true" borderId="8" applyBorder="true" applyNumberFormat="true" numFmtId="2" fillId="22" applyFill="true">
      <alignment horizontal="center" vertical="center"/>
    </xf>
    <xf fontId="24807" applyFont="true" borderId="8" applyBorder="true" applyNumberFormat="true" numFmtId="165" fillId="19" applyFill="true">
      <alignment horizontal="left" vertical="center"/>
    </xf>
    <xf fontId="24808" applyFont="true" borderId="8" applyBorder="true" applyNumberFormat="true" numFmtId="165" fillId="22" applyFill="true">
      <alignment horizontal="center" vertical="center"/>
    </xf>
    <xf fontId="24809" applyFont="true" borderId="8" applyBorder="true" applyNumberFormat="true" numFmtId="166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" fillId="22" applyFill="true">
      <alignment horizontal="center" vertical="center"/>
    </xf>
    <xf fontId="24816" applyFont="true" borderId="8" applyBorder="true" applyNumberFormat="true" numFmtId="1" fillId="22" applyFill="true">
      <alignment horizontal="center" vertical="center"/>
    </xf>
    <xf fontId="24817" applyFont="true" borderId="8" applyBorder="true" applyNumberFormat="true" numFmtId="165" fillId="22" applyFill="true">
      <alignment horizontal="center" vertical="center"/>
    </xf>
    <xf fontId="24818" applyFont="true" borderId="8" applyBorder="true" applyNumberFormat="true" numFmtId="165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" fillId="22" applyFill="true">
      <alignment horizontal="center" vertical="center"/>
    </xf>
    <xf fontId="24828" applyFont="true" borderId="8" applyBorder="true" applyNumberFormat="true" numFmtId="167" fillId="22" applyFill="true">
      <alignment horizontal="center" vertical="center"/>
    </xf>
    <xf fontId="24829" applyFont="true" borderId="8" applyBorder="true" applyNumberFormat="true" numFmtId="167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" fillId="22" applyFill="true">
      <alignment horizontal="center" vertical="center"/>
    </xf>
    <xf fontId="24832" applyFont="true" borderId="8" applyBorder="true" applyNumberFormat="true" numFmtId="1" fillId="22" applyFill="true">
      <alignment horizontal="center" vertical="center"/>
    </xf>
    <xf fontId="24833" applyFont="true" borderId="8" applyBorder="true" applyNumberFormat="true" numFmtId="167" fillId="22" applyFill="true">
      <alignment horizontal="center" vertical="center"/>
    </xf>
    <xf fontId="24834" applyFont="true" borderId="8" applyBorder="true" applyNumberFormat="true" numFmtId="166" fillId="22" applyFill="true">
      <alignment horizontal="center" vertical="center"/>
    </xf>
    <xf fontId="24835" applyFont="true" borderId="8" applyBorder="true" applyNumberFormat="true" numFmtId="166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67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1" fillId="22" applyFill="true">
      <alignment horizontal="center" vertical="center"/>
    </xf>
    <xf fontId="24850" applyFont="true" borderId="8" applyBorder="true" applyNumberFormat="true" numFmtId="167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2" fillId="22" applyFill="true">
      <alignment horizontal="center" vertical="center"/>
    </xf>
    <xf fontId="24884" applyFont="true" borderId="8" applyBorder="true" applyNumberFormat="true" numFmtId="2" fillId="22" applyFill="true">
      <alignment horizontal="center" vertical="center"/>
    </xf>
    <xf fontId="24885" applyFont="true" borderId="8" applyBorder="true" applyNumberFormat="true" numFmtId="165" fillId="19" applyFill="true">
      <alignment horizontal="left" vertical="center"/>
    </xf>
    <xf fontId="24886" applyFont="true" borderId="8" applyBorder="true" applyNumberFormat="true" numFmtId="165" fillId="22" applyFill="true">
      <alignment horizontal="center" vertical="center"/>
    </xf>
    <xf fontId="24887" applyFont="true" borderId="8" applyBorder="true" applyNumberFormat="true" numFmtId="166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" fillId="22" applyFill="true">
      <alignment horizontal="center" vertical="center"/>
    </xf>
    <xf fontId="24894" applyFont="true" borderId="8" applyBorder="true" applyNumberFormat="true" numFmtId="1" fillId="22" applyFill="true">
      <alignment horizontal="center" vertical="center"/>
    </xf>
    <xf fontId="24895" applyFont="true" borderId="8" applyBorder="true" applyNumberFormat="true" numFmtId="165" fillId="22" applyFill="true">
      <alignment horizontal="center" vertical="center"/>
    </xf>
    <xf fontId="24896" applyFont="true" borderId="8" applyBorder="true" applyNumberFormat="true" numFmtId="165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" fillId="22" applyFill="true">
      <alignment horizontal="center" vertical="center"/>
    </xf>
    <xf fontId="24906" applyFont="true" borderId="8" applyBorder="true" applyNumberFormat="true" numFmtId="167" fillId="22" applyFill="true">
      <alignment horizontal="center" vertical="center"/>
    </xf>
    <xf fontId="24907" applyFont="true" borderId="8" applyBorder="true" applyNumberFormat="true" numFmtId="167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" fillId="22" applyFill="true">
      <alignment horizontal="center" vertical="center"/>
    </xf>
    <xf fontId="24910" applyFont="true" borderId="8" applyBorder="true" applyNumberFormat="true" numFmtId="1" fillId="22" applyFill="true">
      <alignment horizontal="center" vertical="center"/>
    </xf>
    <xf fontId="24911" applyFont="true" borderId="8" applyBorder="true" applyNumberFormat="true" numFmtId="167" fillId="22" applyFill="true">
      <alignment horizontal="center" vertical="center"/>
    </xf>
    <xf fontId="24912" applyFont="true" borderId="8" applyBorder="true" applyNumberFormat="true" numFmtId="166" fillId="22" applyFill="true">
      <alignment horizontal="center" vertical="center"/>
    </xf>
    <xf fontId="24913" applyFont="true" borderId="8" applyBorder="true" applyNumberFormat="true" numFmtId="166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67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1" fillId="22" applyFill="true">
      <alignment horizontal="center" vertical="center"/>
    </xf>
    <xf fontId="24928" applyFont="true" borderId="8" applyBorder="true" applyNumberFormat="true" numFmtId="167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2" fillId="22" applyFill="true">
      <alignment horizontal="center" vertical="center"/>
    </xf>
    <xf fontId="24962" applyFont="true" borderId="8" applyBorder="true" applyNumberFormat="true" numFmtId="2" fillId="22" applyFill="true">
      <alignment horizontal="center" vertical="center"/>
    </xf>
    <xf fontId="24963" applyFont="true" borderId="8" applyBorder="true" applyNumberFormat="true" numFmtId="165" fillId="19" applyFill="true">
      <alignment horizontal="left" vertical="center"/>
    </xf>
    <xf fontId="24964" applyFont="true" borderId="8" applyBorder="true" applyNumberFormat="true" numFmtId="165" fillId="22" applyFill="true">
      <alignment horizontal="center" vertical="center"/>
    </xf>
    <xf fontId="24965" applyFont="true" borderId="8" applyBorder="true" applyNumberFormat="true" numFmtId="166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" fillId="22" applyFill="true">
      <alignment horizontal="center" vertical="center"/>
    </xf>
    <xf fontId="24972" applyFont="true" borderId="8" applyBorder="true" applyNumberFormat="true" numFmtId="1" fillId="22" applyFill="true">
      <alignment horizontal="center" vertical="center"/>
    </xf>
    <xf fontId="24973" applyFont="true" borderId="8" applyBorder="true" applyNumberFormat="true" numFmtId="165" fillId="22" applyFill="true">
      <alignment horizontal="center" vertical="center"/>
    </xf>
    <xf fontId="24974" applyFont="true" borderId="8" applyBorder="true" applyNumberFormat="true" numFmtId="165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" fillId="22" applyFill="true">
      <alignment horizontal="center" vertical="center"/>
    </xf>
    <xf fontId="24984" applyFont="true" borderId="8" applyBorder="true" applyNumberFormat="true" numFmtId="167" fillId="22" applyFill="true">
      <alignment horizontal="center" vertical="center"/>
    </xf>
    <xf fontId="24985" applyFont="true" borderId="8" applyBorder="true" applyNumberFormat="true" numFmtId="167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" fillId="22" applyFill="true">
      <alignment horizontal="center" vertical="center"/>
    </xf>
    <xf fontId="24988" applyFont="true" borderId="8" applyBorder="true" applyNumberFormat="true" numFmtId="1" fillId="22" applyFill="true">
      <alignment horizontal="center" vertical="center"/>
    </xf>
    <xf fontId="24989" applyFont="true" borderId="8" applyBorder="true" applyNumberFormat="true" numFmtId="167" fillId="22" applyFill="true">
      <alignment horizontal="center" vertical="center"/>
    </xf>
    <xf fontId="24990" applyFont="true" borderId="8" applyBorder="true" applyNumberFormat="true" numFmtId="166" fillId="22" applyFill="true">
      <alignment horizontal="center" vertical="center"/>
    </xf>
    <xf fontId="24991" applyFont="true" borderId="8" applyBorder="true" applyNumberFormat="true" numFmtId="166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67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1" fillId="22" applyFill="true">
      <alignment horizontal="center" vertical="center"/>
    </xf>
    <xf fontId="25006" applyFont="true" borderId="8" applyBorder="true" applyNumberFormat="true" numFmtId="167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2" fillId="22" applyFill="true">
      <alignment horizontal="center" vertical="center"/>
    </xf>
    <xf fontId="25040" applyFont="true" borderId="8" applyBorder="true" applyNumberFormat="true" numFmtId="2" fillId="22" applyFill="true">
      <alignment horizontal="center" vertical="center"/>
    </xf>
    <xf fontId="25041" applyFont="true" borderId="8" applyBorder="true" applyNumberFormat="true" numFmtId="165" fillId="19" applyFill="true">
      <alignment horizontal="left" vertical="center"/>
    </xf>
    <xf fontId="25042" applyFont="true" borderId="8" applyBorder="true" applyNumberFormat="true" numFmtId="165" fillId="22" applyFill="true">
      <alignment horizontal="center" vertical="center"/>
    </xf>
    <xf fontId="25043" applyFont="true" borderId="8" applyBorder="true" applyNumberFormat="true" numFmtId="166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" fillId="22" applyFill="true">
      <alignment horizontal="center" vertical="center"/>
    </xf>
    <xf fontId="25050" applyFont="true" borderId="8" applyBorder="true" applyNumberFormat="true" numFmtId="1" fillId="22" applyFill="true">
      <alignment horizontal="center" vertical="center"/>
    </xf>
    <xf fontId="25051" applyFont="true" borderId="8" applyBorder="true" applyNumberFormat="true" numFmtId="165" fillId="22" applyFill="true">
      <alignment horizontal="center" vertical="center"/>
    </xf>
    <xf fontId="25052" applyFont="true" borderId="8" applyBorder="true" applyNumberFormat="true" numFmtId="165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" fillId="22" applyFill="true">
      <alignment horizontal="center" vertical="center"/>
    </xf>
    <xf fontId="25062" applyFont="true" borderId="8" applyBorder="true" applyNumberFormat="true" numFmtId="167" fillId="22" applyFill="true">
      <alignment horizontal="center" vertical="center"/>
    </xf>
    <xf fontId="25063" applyFont="true" borderId="8" applyBorder="true" applyNumberFormat="true" numFmtId="167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" fillId="22" applyFill="true">
      <alignment horizontal="center" vertical="center"/>
    </xf>
    <xf fontId="25066" applyFont="true" borderId="8" applyBorder="true" applyNumberFormat="true" numFmtId="1" fillId="22" applyFill="true">
      <alignment horizontal="center" vertical="center"/>
    </xf>
    <xf fontId="25067" applyFont="true" borderId="8" applyBorder="true" applyNumberFormat="true" numFmtId="167" fillId="22" applyFill="true">
      <alignment horizontal="center" vertical="center"/>
    </xf>
    <xf fontId="25068" applyFont="true" borderId="8" applyBorder="true" applyNumberFormat="true" numFmtId="166" fillId="22" applyFill="true">
      <alignment horizontal="center" vertical="center"/>
    </xf>
    <xf fontId="25069" applyFont="true" borderId="8" applyBorder="true" applyNumberFormat="true" numFmtId="166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67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1" fillId="22" applyFill="true">
      <alignment horizontal="center" vertical="center"/>
    </xf>
    <xf fontId="25084" applyFont="true" borderId="8" applyBorder="true" applyNumberFormat="true" numFmtId="167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2" fillId="22" applyFill="true">
      <alignment horizontal="center" vertical="center"/>
    </xf>
    <xf fontId="25118" applyFont="true" borderId="8" applyBorder="true" applyNumberFormat="true" numFmtId="2" fillId="22" applyFill="true">
      <alignment horizontal="center" vertical="center"/>
    </xf>
    <xf fontId="25119" applyFont="true" borderId="8" applyBorder="true" applyNumberFormat="true" numFmtId="165" fillId="19" applyFill="true">
      <alignment horizontal="left" vertical="center"/>
    </xf>
    <xf fontId="25120" applyFont="true" borderId="8" applyBorder="true" applyNumberFormat="true" numFmtId="165" fillId="22" applyFill="true">
      <alignment horizontal="center" vertical="center"/>
    </xf>
    <xf fontId="25121" applyFont="true" borderId="8" applyBorder="true" applyNumberFormat="true" numFmtId="166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" fillId="22" applyFill="true">
      <alignment horizontal="center" vertical="center"/>
    </xf>
    <xf fontId="25128" applyFont="true" borderId="8" applyBorder="true" applyNumberFormat="true" numFmtId="1" fillId="22" applyFill="true">
      <alignment horizontal="center" vertical="center"/>
    </xf>
    <xf fontId="25129" applyFont="true" borderId="8" applyBorder="true" applyNumberFormat="true" numFmtId="165" fillId="22" applyFill="true">
      <alignment horizontal="center" vertical="center"/>
    </xf>
    <xf fontId="25130" applyFont="true" borderId="8" applyBorder="true" applyNumberFormat="true" numFmtId="165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" fillId="22" applyFill="true">
      <alignment horizontal="center" vertical="center"/>
    </xf>
    <xf fontId="25140" applyFont="true" borderId="8" applyBorder="true" applyNumberFormat="true" numFmtId="167" fillId="22" applyFill="true">
      <alignment horizontal="center" vertical="center"/>
    </xf>
    <xf fontId="25141" applyFont="true" borderId="8" applyBorder="true" applyNumberFormat="true" numFmtId="167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" fillId="22" applyFill="true">
      <alignment horizontal="center" vertical="center"/>
    </xf>
    <xf fontId="25144" applyFont="true" borderId="8" applyBorder="true" applyNumberFormat="true" numFmtId="1" fillId="22" applyFill="true">
      <alignment horizontal="center" vertical="center"/>
    </xf>
    <xf fontId="25145" applyFont="true" borderId="8" applyBorder="true" applyNumberFormat="true" numFmtId="167" fillId="22" applyFill="true">
      <alignment horizontal="center" vertical="center"/>
    </xf>
    <xf fontId="25146" applyFont="true" borderId="8" applyBorder="true" applyNumberFormat="true" numFmtId="166" fillId="22" applyFill="true">
      <alignment horizontal="center" vertical="center"/>
    </xf>
    <xf fontId="25147" applyFont="true" borderId="8" applyBorder="true" applyNumberFormat="true" numFmtId="166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67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1" fillId="22" applyFill="true">
      <alignment horizontal="center" vertical="center"/>
    </xf>
    <xf fontId="25162" applyFont="true" borderId="8" applyBorder="true" applyNumberFormat="true" numFmtId="167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2" fillId="22" applyFill="true">
      <alignment horizontal="center" vertical="center"/>
    </xf>
    <xf fontId="25196" applyFont="true" borderId="8" applyBorder="true" applyNumberFormat="true" numFmtId="2" fillId="22" applyFill="true">
      <alignment horizontal="center" vertical="center"/>
    </xf>
    <xf fontId="25197" applyFont="true" borderId="8" applyBorder="true" applyNumberFormat="true" numFmtId="165" fillId="19" applyFill="true">
      <alignment horizontal="left" vertical="center"/>
    </xf>
    <xf fontId="25198" applyFont="true" borderId="8" applyBorder="true" applyNumberFormat="true" numFmtId="165" fillId="22" applyFill="true">
      <alignment horizontal="center" vertical="center"/>
    </xf>
    <xf fontId="25199" applyFont="true" borderId="8" applyBorder="true" applyNumberFormat="true" numFmtId="166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" fillId="22" applyFill="true">
      <alignment horizontal="center" vertical="center"/>
    </xf>
    <xf fontId="25206" applyFont="true" borderId="8" applyBorder="true" applyNumberFormat="true" numFmtId="1" fillId="22" applyFill="true">
      <alignment horizontal="center" vertical="center"/>
    </xf>
    <xf fontId="25207" applyFont="true" borderId="8" applyBorder="true" applyNumberFormat="true" numFmtId="165" fillId="22" applyFill="true">
      <alignment horizontal="center" vertical="center"/>
    </xf>
    <xf fontId="25208" applyFont="true" borderId="8" applyBorder="true" applyNumberFormat="true" numFmtId="165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" fillId="22" applyFill="true">
      <alignment horizontal="center" vertical="center"/>
    </xf>
    <xf fontId="25218" applyFont="true" borderId="8" applyBorder="true" applyNumberFormat="true" numFmtId="167" fillId="22" applyFill="true">
      <alignment horizontal="center" vertical="center"/>
    </xf>
    <xf fontId="25219" applyFont="true" borderId="8" applyBorder="true" applyNumberFormat="true" numFmtId="167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" fillId="22" applyFill="true">
      <alignment horizontal="center" vertical="center"/>
    </xf>
    <xf fontId="25222" applyFont="true" borderId="8" applyBorder="true" applyNumberFormat="true" numFmtId="1" fillId="22" applyFill="true">
      <alignment horizontal="center" vertical="center"/>
    </xf>
    <xf fontId="25223" applyFont="true" borderId="8" applyBorder="true" applyNumberFormat="true" numFmtId="167" fillId="22" applyFill="true">
      <alignment horizontal="center" vertical="center"/>
    </xf>
    <xf fontId="25224" applyFont="true" borderId="8" applyBorder="true" applyNumberFormat="true" numFmtId="166" fillId="22" applyFill="true">
      <alignment horizontal="center" vertical="center"/>
    </xf>
    <xf fontId="25225" applyFont="true" borderId="8" applyBorder="true" applyNumberFormat="true" numFmtId="166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67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1" fillId="22" applyFill="true">
      <alignment horizontal="center" vertical="center"/>
    </xf>
    <xf fontId="25240" applyFont="true" borderId="8" applyBorder="true" applyNumberFormat="true" numFmtId="167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2" fillId="22" applyFill="true">
      <alignment horizontal="center" vertical="center"/>
    </xf>
    <xf fontId="25274" applyFont="true" borderId="8" applyBorder="true" applyNumberFormat="true" numFmtId="2" fillId="22" applyFill="true">
      <alignment horizontal="center" vertical="center"/>
    </xf>
    <xf fontId="25275" applyFont="true" borderId="8" applyBorder="true" applyNumberFormat="true" numFmtId="165" fillId="19" applyFill="true">
      <alignment horizontal="left" vertical="center"/>
    </xf>
    <xf fontId="25276" applyFont="true" borderId="8" applyBorder="true" applyNumberFormat="true" numFmtId="165" fillId="22" applyFill="true">
      <alignment horizontal="center" vertical="center"/>
    </xf>
    <xf fontId="25277" applyFont="true" borderId="8" applyBorder="true" applyNumberFormat="true" numFmtId="166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" fillId="22" applyFill="true">
      <alignment horizontal="center" vertical="center"/>
    </xf>
    <xf fontId="25284" applyFont="true" borderId="8" applyBorder="true" applyNumberFormat="true" numFmtId="1" fillId="22" applyFill="true">
      <alignment horizontal="center" vertical="center"/>
    </xf>
    <xf fontId="25285" applyFont="true" borderId="8" applyBorder="true" applyNumberFormat="true" numFmtId="165" fillId="22" applyFill="true">
      <alignment horizontal="center" vertical="center"/>
    </xf>
    <xf fontId="25286" applyFont="true" borderId="8" applyBorder="true" applyNumberFormat="true" numFmtId="165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" fillId="22" applyFill="true">
      <alignment horizontal="center" vertical="center"/>
    </xf>
    <xf fontId="25296" applyFont="true" borderId="8" applyBorder="true" applyNumberFormat="true" numFmtId="167" fillId="22" applyFill="true">
      <alignment horizontal="center" vertical="center"/>
    </xf>
    <xf fontId="25297" applyFont="true" borderId="8" applyBorder="true" applyNumberFormat="true" numFmtId="167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" fillId="22" applyFill="true">
      <alignment horizontal="center" vertical="center"/>
    </xf>
    <xf fontId="25300" applyFont="true" borderId="8" applyBorder="true" applyNumberFormat="true" numFmtId="1" fillId="22" applyFill="true">
      <alignment horizontal="center" vertical="center"/>
    </xf>
    <xf fontId="25301" applyFont="true" borderId="8" applyBorder="true" applyNumberFormat="true" numFmtId="167" fillId="22" applyFill="true">
      <alignment horizontal="center" vertical="center"/>
    </xf>
    <xf fontId="25302" applyFont="true" borderId="8" applyBorder="true" applyNumberFormat="true" numFmtId="166" fillId="22" applyFill="true">
      <alignment horizontal="center" vertical="center"/>
    </xf>
    <xf fontId="25303" applyFont="true" borderId="8" applyBorder="true" applyNumberFormat="true" numFmtId="166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67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1" fillId="22" applyFill="true">
      <alignment horizontal="center" vertical="center"/>
    </xf>
    <xf fontId="25318" applyFont="true" borderId="8" applyBorder="true" applyNumberFormat="true" numFmtId="167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2" fillId="22" applyFill="true">
      <alignment horizontal="center" vertical="center"/>
    </xf>
    <xf fontId="25352" applyFont="true" borderId="8" applyBorder="true" applyNumberFormat="true" numFmtId="2" fillId="22" applyFill="true">
      <alignment horizontal="center" vertical="center"/>
    </xf>
    <xf fontId="25353" applyFont="true" borderId="8" applyBorder="true" applyNumberFormat="true" numFmtId="165" fillId="19" applyFill="true">
      <alignment horizontal="left" vertical="center"/>
    </xf>
    <xf fontId="25354" applyFont="true" borderId="8" applyBorder="true" applyNumberFormat="true" numFmtId="165" fillId="22" applyFill="true">
      <alignment horizontal="center" vertical="center"/>
    </xf>
    <xf fontId="25355" applyFont="true" borderId="8" applyBorder="true" applyNumberFormat="true" numFmtId="166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" fillId="22" applyFill="true">
      <alignment horizontal="center" vertical="center"/>
    </xf>
    <xf fontId="25362" applyFont="true" borderId="8" applyBorder="true" applyNumberFormat="true" numFmtId="1" fillId="22" applyFill="true">
      <alignment horizontal="center" vertical="center"/>
    </xf>
    <xf fontId="25363" applyFont="true" borderId="8" applyBorder="true" applyNumberFormat="true" numFmtId="165" fillId="22" applyFill="true">
      <alignment horizontal="center" vertical="center"/>
    </xf>
    <xf fontId="25364" applyFont="true" borderId="8" applyBorder="true" applyNumberFormat="true" numFmtId="165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" fillId="22" applyFill="true">
      <alignment horizontal="center" vertical="center"/>
    </xf>
    <xf fontId="25374" applyFont="true" borderId="8" applyBorder="true" applyNumberFormat="true" numFmtId="167" fillId="22" applyFill="true">
      <alignment horizontal="center" vertical="center"/>
    </xf>
    <xf fontId="25375" applyFont="true" borderId="8" applyBorder="true" applyNumberFormat="true" numFmtId="167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" fillId="22" applyFill="true">
      <alignment horizontal="center" vertical="center"/>
    </xf>
    <xf fontId="25378" applyFont="true" borderId="8" applyBorder="true" applyNumberFormat="true" numFmtId="1" fillId="22" applyFill="true">
      <alignment horizontal="center" vertical="center"/>
    </xf>
    <xf fontId="25379" applyFont="true" borderId="8" applyBorder="true" applyNumberFormat="true" numFmtId="167" fillId="22" applyFill="true">
      <alignment horizontal="center" vertical="center"/>
    </xf>
    <xf fontId="25380" applyFont="true" borderId="8" applyBorder="true" applyNumberFormat="true" numFmtId="166" fillId="22" applyFill="true">
      <alignment horizontal="center" vertical="center"/>
    </xf>
    <xf fontId="25381" applyFont="true" borderId="8" applyBorder="true" applyNumberFormat="true" numFmtId="166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67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1" fillId="22" applyFill="true">
      <alignment horizontal="center" vertical="center"/>
    </xf>
    <xf fontId="25396" applyFont="true" borderId="8" applyBorder="true" applyNumberFormat="true" numFmtId="167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2" fillId="22" applyFill="true">
      <alignment horizontal="center" vertical="center"/>
    </xf>
    <xf fontId="25430" applyFont="true" borderId="8" applyBorder="true" applyNumberFormat="true" numFmtId="2" fillId="22" applyFill="true">
      <alignment horizontal="center" vertical="center"/>
    </xf>
    <xf fontId="25431" applyFont="true" borderId="8" applyBorder="true" applyNumberFormat="true" numFmtId="165" fillId="19" applyFill="true">
      <alignment horizontal="left" vertical="center"/>
    </xf>
    <xf fontId="25432" applyFont="true" borderId="8" applyBorder="true" applyNumberFormat="true" numFmtId="165" fillId="22" applyFill="true">
      <alignment horizontal="center" vertical="center"/>
    </xf>
    <xf fontId="25433" applyFont="true" borderId="8" applyBorder="true" applyNumberFormat="true" numFmtId="166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" fillId="22" applyFill="true">
      <alignment horizontal="center" vertical="center"/>
    </xf>
    <xf fontId="25440" applyFont="true" borderId="8" applyBorder="true" applyNumberFormat="true" numFmtId="1" fillId="22" applyFill="true">
      <alignment horizontal="center" vertical="center"/>
    </xf>
    <xf fontId="25441" applyFont="true" borderId="8" applyBorder="true" applyNumberFormat="true" numFmtId="165" fillId="22" applyFill="true">
      <alignment horizontal="center" vertical="center"/>
    </xf>
    <xf fontId="25442" applyFont="true" borderId="8" applyBorder="true" applyNumberFormat="true" numFmtId="165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" fillId="22" applyFill="true">
      <alignment horizontal="center" vertical="center"/>
    </xf>
    <xf fontId="25452" applyFont="true" borderId="8" applyBorder="true" applyNumberFormat="true" numFmtId="167" fillId="22" applyFill="true">
      <alignment horizontal="center" vertical="center"/>
    </xf>
    <xf fontId="25453" applyFont="true" borderId="8" applyBorder="true" applyNumberFormat="true" numFmtId="167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" fillId="22" applyFill="true">
      <alignment horizontal="center" vertical="center"/>
    </xf>
    <xf fontId="25456" applyFont="true" borderId="8" applyBorder="true" applyNumberFormat="true" numFmtId="1" fillId="22" applyFill="true">
      <alignment horizontal="center" vertical="center"/>
    </xf>
    <xf fontId="25457" applyFont="true" borderId="8" applyBorder="true" applyNumberFormat="true" numFmtId="167" fillId="22" applyFill="true">
      <alignment horizontal="center" vertical="center"/>
    </xf>
    <xf fontId="25458" applyFont="true" borderId="8" applyBorder="true" applyNumberFormat="true" numFmtId="166" fillId="22" applyFill="true">
      <alignment horizontal="center" vertical="center"/>
    </xf>
    <xf fontId="25459" applyFont="true" borderId="8" applyBorder="true" applyNumberFormat="true" numFmtId="166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67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1" fillId="22" applyFill="true">
      <alignment horizontal="center" vertical="center"/>
    </xf>
    <xf fontId="25474" applyFont="true" borderId="8" applyBorder="true" applyNumberFormat="true" numFmtId="167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2" fillId="22" applyFill="true">
      <alignment horizontal="center" vertical="center"/>
    </xf>
    <xf fontId="25508" applyFont="true" borderId="8" applyBorder="true" applyNumberFormat="true" numFmtId="2" fillId="22" applyFill="true">
      <alignment horizontal="center" vertical="center"/>
    </xf>
    <xf fontId="25509" applyFont="true" borderId="8" applyBorder="true" applyNumberFormat="true" numFmtId="165" fillId="19" applyFill="true">
      <alignment horizontal="left" vertical="center"/>
    </xf>
    <xf fontId="25510" applyFont="true" borderId="8" applyBorder="true" applyNumberFormat="true" numFmtId="165" fillId="22" applyFill="true">
      <alignment horizontal="center" vertical="center"/>
    </xf>
    <xf fontId="25511" applyFont="true" borderId="8" applyBorder="true" applyNumberFormat="true" numFmtId="166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" fillId="22" applyFill="true">
      <alignment horizontal="center" vertical="center"/>
    </xf>
    <xf fontId="25518" applyFont="true" borderId="8" applyBorder="true" applyNumberFormat="true" numFmtId="1" fillId="22" applyFill="true">
      <alignment horizontal="center" vertical="center"/>
    </xf>
    <xf fontId="25519" applyFont="true" borderId="8" applyBorder="true" applyNumberFormat="true" numFmtId="165" fillId="22" applyFill="true">
      <alignment horizontal="center" vertical="center"/>
    </xf>
    <xf fontId="25520" applyFont="true" borderId="8" applyBorder="true" applyNumberFormat="true" numFmtId="165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" fillId="22" applyFill="true">
      <alignment horizontal="center" vertical="center"/>
    </xf>
    <xf fontId="25530" applyFont="true" borderId="8" applyBorder="true" applyNumberFormat="true" numFmtId="167" fillId="22" applyFill="true">
      <alignment horizontal="center" vertical="center"/>
    </xf>
    <xf fontId="25531" applyFont="true" borderId="8" applyBorder="true" applyNumberFormat="true" numFmtId="167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" fillId="22" applyFill="true">
      <alignment horizontal="center" vertical="center"/>
    </xf>
    <xf fontId="25534" applyFont="true" borderId="8" applyBorder="true" applyNumberFormat="true" numFmtId="1" fillId="22" applyFill="true">
      <alignment horizontal="center" vertical="center"/>
    </xf>
    <xf fontId="25535" applyFont="true" borderId="8" applyBorder="true" applyNumberFormat="true" numFmtId="167" fillId="22" applyFill="true">
      <alignment horizontal="center" vertical="center"/>
    </xf>
    <xf fontId="25536" applyFont="true" borderId="8" applyBorder="true" applyNumberFormat="true" numFmtId="166" fillId="22" applyFill="true">
      <alignment horizontal="center" vertical="center"/>
    </xf>
    <xf fontId="25537" applyFont="true" borderId="8" applyBorder="true" applyNumberFormat="true" numFmtId="166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67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1" fillId="22" applyFill="true">
      <alignment horizontal="center" vertical="center"/>
    </xf>
    <xf fontId="25552" applyFont="true" borderId="8" applyBorder="true" applyNumberFormat="true" numFmtId="167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2" fillId="22" applyFill="true">
      <alignment horizontal="center" vertical="center"/>
    </xf>
    <xf fontId="25586" applyFont="true" borderId="8" applyBorder="true" applyNumberFormat="true" numFmtId="2" fillId="22" applyFill="true">
      <alignment horizontal="center" vertical="center"/>
    </xf>
    <xf fontId="25587" applyFont="true" borderId="8" applyBorder="true" applyNumberFormat="true" numFmtId="165" fillId="19" applyFill="true">
      <alignment horizontal="left" vertical="center"/>
    </xf>
    <xf fontId="25588" applyFont="true" borderId="8" applyBorder="true" applyNumberFormat="true" numFmtId="165" fillId="22" applyFill="true">
      <alignment horizontal="center" vertical="center"/>
    </xf>
    <xf fontId="25589" applyFont="true" borderId="8" applyBorder="true" applyNumberFormat="true" numFmtId="166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" fillId="22" applyFill="true">
      <alignment horizontal="center" vertical="center"/>
    </xf>
    <xf fontId="25596" applyFont="true" borderId="8" applyBorder="true" applyNumberFormat="true" numFmtId="1" fillId="22" applyFill="true">
      <alignment horizontal="center" vertical="center"/>
    </xf>
    <xf fontId="25597" applyFont="true" borderId="8" applyBorder="true" applyNumberFormat="true" numFmtId="165" fillId="22" applyFill="true">
      <alignment horizontal="center" vertical="center"/>
    </xf>
    <xf fontId="25598" applyFont="true" borderId="8" applyBorder="true" applyNumberFormat="true" numFmtId="165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" fillId="22" applyFill="true">
      <alignment horizontal="center" vertical="center"/>
    </xf>
    <xf fontId="25608" applyFont="true" borderId="8" applyBorder="true" applyNumberFormat="true" numFmtId="167" fillId="22" applyFill="true">
      <alignment horizontal="center" vertical="center"/>
    </xf>
    <xf fontId="25609" applyFont="true" borderId="8" applyBorder="true" applyNumberFormat="true" numFmtId="167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" fillId="22" applyFill="true">
      <alignment horizontal="center" vertical="center"/>
    </xf>
    <xf fontId="25612" applyFont="true" borderId="8" applyBorder="true" applyNumberFormat="true" numFmtId="1" fillId="22" applyFill="true">
      <alignment horizontal="center" vertical="center"/>
    </xf>
    <xf fontId="25613" applyFont="true" borderId="8" applyBorder="true" applyNumberFormat="true" numFmtId="167" fillId="22" applyFill="true">
      <alignment horizontal="center" vertical="center"/>
    </xf>
    <xf fontId="25614" applyFont="true" borderId="8" applyBorder="true" applyNumberFormat="true" numFmtId="166" fillId="22" applyFill="true">
      <alignment horizontal="center" vertical="center"/>
    </xf>
    <xf fontId="25615" applyFont="true" borderId="8" applyBorder="true" applyNumberFormat="true" numFmtId="166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67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1" fillId="22" applyFill="true">
      <alignment horizontal="center" vertical="center"/>
    </xf>
    <xf fontId="25630" applyFont="true" borderId="8" applyBorder="true" applyNumberFormat="true" numFmtId="167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2" fillId="22" applyFill="true">
      <alignment horizontal="center" vertical="center"/>
    </xf>
    <xf fontId="25664" applyFont="true" borderId="8" applyBorder="true" applyNumberFormat="true" numFmtId="2" fillId="22" applyFill="true">
      <alignment horizontal="center" vertical="center"/>
    </xf>
    <xf fontId="25665" applyFont="true" borderId="8" applyBorder="true" applyNumberFormat="true" numFmtId="165" fillId="19" applyFill="true">
      <alignment horizontal="left" vertical="center"/>
    </xf>
    <xf fontId="25666" applyFont="true" borderId="8" applyBorder="true" applyNumberFormat="true" numFmtId="165" fillId="22" applyFill="true">
      <alignment horizontal="center" vertical="center"/>
    </xf>
    <xf fontId="25667" applyFont="true" borderId="8" applyBorder="true" applyNumberFormat="true" numFmtId="166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" fillId="22" applyFill="true">
      <alignment horizontal="center" vertical="center"/>
    </xf>
    <xf fontId="25674" applyFont="true" borderId="8" applyBorder="true" applyNumberFormat="true" numFmtId="1" fillId="22" applyFill="true">
      <alignment horizontal="center" vertical="center"/>
    </xf>
    <xf fontId="25675" applyFont="true" borderId="8" applyBorder="true" applyNumberFormat="true" numFmtId="165" fillId="22" applyFill="true">
      <alignment horizontal="center" vertical="center"/>
    </xf>
    <xf fontId="25676" applyFont="true" borderId="8" applyBorder="true" applyNumberFormat="true" numFmtId="165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" fillId="22" applyFill="true">
      <alignment horizontal="center" vertical="center"/>
    </xf>
    <xf fontId="25686" applyFont="true" borderId="8" applyBorder="true" applyNumberFormat="true" numFmtId="167" fillId="22" applyFill="true">
      <alignment horizontal="center" vertical="center"/>
    </xf>
    <xf fontId="25687" applyFont="true" borderId="8" applyBorder="true" applyNumberFormat="true" numFmtId="167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" fillId="22" applyFill="true">
      <alignment horizontal="center" vertical="center"/>
    </xf>
    <xf fontId="25690" applyFont="true" borderId="8" applyBorder="true" applyNumberFormat="true" numFmtId="1" fillId="22" applyFill="true">
      <alignment horizontal="center" vertical="center"/>
    </xf>
    <xf fontId="25691" applyFont="true" borderId="8" applyBorder="true" applyNumberFormat="true" numFmtId="167" fillId="22" applyFill="true">
      <alignment horizontal="center" vertical="center"/>
    </xf>
    <xf fontId="25692" applyFont="true" borderId="8" applyBorder="true" applyNumberFormat="true" numFmtId="166" fillId="22" applyFill="true">
      <alignment horizontal="center" vertical="center"/>
    </xf>
    <xf fontId="25693" applyFont="true" borderId="8" applyBorder="true" applyNumberFormat="true" numFmtId="166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67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1" fillId="22" applyFill="true">
      <alignment horizontal="center" vertical="center"/>
    </xf>
    <xf fontId="25708" applyFont="true" borderId="8" applyBorder="true" applyNumberFormat="true" numFmtId="167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2" fillId="22" applyFill="true">
      <alignment horizontal="center" vertical="center"/>
    </xf>
    <xf fontId="25742" applyFont="true" borderId="8" applyBorder="true" applyNumberFormat="true" numFmtId="2" fillId="22" applyFill="true">
      <alignment horizontal="center" vertical="center"/>
    </xf>
    <xf fontId="25743" applyFont="true" borderId="8" applyBorder="true" applyNumberFormat="true" numFmtId="165" fillId="19" applyFill="true">
      <alignment horizontal="left" vertical="center"/>
    </xf>
    <xf fontId="25744" applyFont="true" borderId="8" applyBorder="true" applyNumberFormat="true" numFmtId="165" fillId="22" applyFill="true">
      <alignment horizontal="center" vertical="center"/>
    </xf>
    <xf fontId="25745" applyFont="true" borderId="8" applyBorder="true" applyNumberFormat="true" numFmtId="166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" fillId="22" applyFill="true">
      <alignment horizontal="center" vertical="center"/>
    </xf>
    <xf fontId="25752" applyFont="true" borderId="8" applyBorder="true" applyNumberFormat="true" numFmtId="1" fillId="22" applyFill="true">
      <alignment horizontal="center" vertical="center"/>
    </xf>
    <xf fontId="25753" applyFont="true" borderId="8" applyBorder="true" applyNumberFormat="true" numFmtId="165" fillId="22" applyFill="true">
      <alignment horizontal="center" vertical="center"/>
    </xf>
    <xf fontId="25754" applyFont="true" borderId="8" applyBorder="true" applyNumberFormat="true" numFmtId="165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" fillId="22" applyFill="true">
      <alignment horizontal="center" vertical="center"/>
    </xf>
    <xf fontId="25764" applyFont="true" borderId="8" applyBorder="true" applyNumberFormat="true" numFmtId="167" fillId="22" applyFill="true">
      <alignment horizontal="center" vertical="center"/>
    </xf>
    <xf fontId="25765" applyFont="true" borderId="8" applyBorder="true" applyNumberFormat="true" numFmtId="167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" fillId="22" applyFill="true">
      <alignment horizontal="center" vertical="center"/>
    </xf>
    <xf fontId="25768" applyFont="true" borderId="8" applyBorder="true" applyNumberFormat="true" numFmtId="1" fillId="22" applyFill="true">
      <alignment horizontal="center" vertical="center"/>
    </xf>
    <xf fontId="25769" applyFont="true" borderId="8" applyBorder="true" applyNumberFormat="true" numFmtId="167" fillId="22" applyFill="true">
      <alignment horizontal="center" vertical="center"/>
    </xf>
    <xf fontId="25770" applyFont="true" borderId="8" applyBorder="true" applyNumberFormat="true" numFmtId="166" fillId="22" applyFill="true">
      <alignment horizontal="center" vertical="center"/>
    </xf>
    <xf fontId="25771" applyFont="true" borderId="8" applyBorder="true" applyNumberFormat="true" numFmtId="166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67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1" fillId="22" applyFill="true">
      <alignment horizontal="center" vertical="center"/>
    </xf>
    <xf fontId="25786" applyFont="true" borderId="8" applyBorder="true" applyNumberFormat="true" numFmtId="167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2" fillId="22" applyFill="true">
      <alignment horizontal="center" vertical="center"/>
    </xf>
    <xf fontId="25820" applyFont="true" borderId="8" applyBorder="true" applyNumberFormat="true" numFmtId="2" fillId="22" applyFill="true">
      <alignment horizontal="center" vertical="center"/>
    </xf>
    <xf fontId="25821" applyFont="true" borderId="8" applyBorder="true" applyNumberFormat="true" numFmtId="165" fillId="19" applyFill="true">
      <alignment horizontal="left" vertical="center"/>
    </xf>
    <xf fontId="25822" applyFont="true" borderId="8" applyBorder="true" applyNumberFormat="true" numFmtId="165" fillId="22" applyFill="true">
      <alignment horizontal="center" vertical="center"/>
    </xf>
    <xf fontId="25823" applyFont="true" borderId="8" applyBorder="true" applyNumberFormat="true" numFmtId="166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" fillId="22" applyFill="true">
      <alignment horizontal="center" vertical="center"/>
    </xf>
    <xf fontId="25830" applyFont="true" borderId="8" applyBorder="true" applyNumberFormat="true" numFmtId="1" fillId="22" applyFill="true">
      <alignment horizontal="center" vertical="center"/>
    </xf>
    <xf fontId="25831" applyFont="true" borderId="8" applyBorder="true" applyNumberFormat="true" numFmtId="165" fillId="22" applyFill="true">
      <alignment horizontal="center" vertical="center"/>
    </xf>
    <xf fontId="25832" applyFont="true" borderId="8" applyBorder="true" applyNumberFormat="true" numFmtId="165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" fillId="22" applyFill="true">
      <alignment horizontal="center" vertical="center"/>
    </xf>
    <xf fontId="25842" applyFont="true" borderId="8" applyBorder="true" applyNumberFormat="true" numFmtId="167" fillId="22" applyFill="true">
      <alignment horizontal="center" vertical="center"/>
    </xf>
    <xf fontId="25843" applyFont="true" borderId="8" applyBorder="true" applyNumberFormat="true" numFmtId="167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" fillId="22" applyFill="true">
      <alignment horizontal="center" vertical="center"/>
    </xf>
    <xf fontId="25846" applyFont="true" borderId="8" applyBorder="true" applyNumberFormat="true" numFmtId="1" fillId="22" applyFill="true">
      <alignment horizontal="center" vertical="center"/>
    </xf>
    <xf fontId="25847" applyFont="true" borderId="8" applyBorder="true" applyNumberFormat="true" numFmtId="167" fillId="22" applyFill="true">
      <alignment horizontal="center" vertical="center"/>
    </xf>
    <xf fontId="25848" applyFont="true" borderId="8" applyBorder="true" applyNumberFormat="true" numFmtId="166" fillId="22" applyFill="true">
      <alignment horizontal="center" vertical="center"/>
    </xf>
    <xf fontId="25849" applyFont="true" borderId="8" applyBorder="true" applyNumberFormat="true" numFmtId="166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67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1" fillId="22" applyFill="true">
      <alignment horizontal="center" vertical="center"/>
    </xf>
    <xf fontId="25864" applyFont="true" borderId="8" applyBorder="true" applyNumberFormat="true" numFmtId="167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2" fillId="22" applyFill="true">
      <alignment horizontal="center" vertical="center"/>
    </xf>
    <xf fontId="25898" applyFont="true" borderId="8" applyBorder="true" applyNumberFormat="true" numFmtId="2" fillId="22" applyFill="true">
      <alignment horizontal="center" vertical="center"/>
    </xf>
    <xf fontId="25899" applyFont="true" borderId="8" applyBorder="true" applyNumberFormat="true" numFmtId="165" fillId="19" applyFill="true">
      <alignment horizontal="left" vertical="center"/>
    </xf>
    <xf fontId="25900" applyFont="true" borderId="8" applyBorder="true" applyNumberFormat="true" numFmtId="165" fillId="22" applyFill="true">
      <alignment horizontal="center" vertical="center"/>
    </xf>
    <xf fontId="25901" applyFont="true" borderId="8" applyBorder="true" applyNumberFormat="true" numFmtId="166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" fillId="22" applyFill="true">
      <alignment horizontal="center" vertical="center"/>
    </xf>
    <xf fontId="25908" applyFont="true" borderId="8" applyBorder="true" applyNumberFormat="true" numFmtId="1" fillId="22" applyFill="true">
      <alignment horizontal="center" vertical="center"/>
    </xf>
    <xf fontId="25909" applyFont="true" borderId="8" applyBorder="true" applyNumberFormat="true" numFmtId="165" fillId="22" applyFill="true">
      <alignment horizontal="center" vertical="center"/>
    </xf>
    <xf fontId="25910" applyFont="true" borderId="8" applyBorder="true" applyNumberFormat="true" numFmtId="165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" fillId="22" applyFill="true">
      <alignment horizontal="center" vertical="center"/>
    </xf>
    <xf fontId="25920" applyFont="true" borderId="8" applyBorder="true" applyNumberFormat="true" numFmtId="167" fillId="22" applyFill="true">
      <alignment horizontal="center" vertical="center"/>
    </xf>
    <xf fontId="25921" applyFont="true" borderId="8" applyBorder="true" applyNumberFormat="true" numFmtId="167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" fillId="22" applyFill="true">
      <alignment horizontal="center" vertical="center"/>
    </xf>
    <xf fontId="25924" applyFont="true" borderId="8" applyBorder="true" applyNumberFormat="true" numFmtId="1" fillId="22" applyFill="true">
      <alignment horizontal="center" vertical="center"/>
    </xf>
    <xf fontId="25925" applyFont="true" borderId="8" applyBorder="true" applyNumberFormat="true" numFmtId="167" fillId="22" applyFill="true">
      <alignment horizontal="center" vertical="center"/>
    </xf>
    <xf fontId="25926" applyFont="true" borderId="8" applyBorder="true" applyNumberFormat="true" numFmtId="166" fillId="22" applyFill="true">
      <alignment horizontal="center" vertical="center"/>
    </xf>
    <xf fontId="25927" applyFont="true" borderId="8" applyBorder="true" applyNumberFormat="true" numFmtId="166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67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1" fillId="22" applyFill="true">
      <alignment horizontal="center" vertical="center"/>
    </xf>
    <xf fontId="25942" applyFont="true" borderId="8" applyBorder="true" applyNumberFormat="true" numFmtId="167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2" fillId="22" applyFill="true">
      <alignment horizontal="center" vertical="center"/>
    </xf>
    <xf fontId="25976" applyFont="true" borderId="8" applyBorder="true" applyNumberFormat="true" numFmtId="2" fillId="22" applyFill="true">
      <alignment horizontal="center" vertical="center"/>
    </xf>
    <xf fontId="25977" applyFont="true" borderId="8" applyBorder="true" applyNumberFormat="true" numFmtId="165" fillId="19" applyFill="true">
      <alignment horizontal="left" vertical="center"/>
    </xf>
    <xf fontId="25978" applyFont="true" borderId="8" applyBorder="true" applyNumberFormat="true" numFmtId="165" fillId="22" applyFill="true">
      <alignment horizontal="center" vertical="center"/>
    </xf>
    <xf fontId="25979" applyFont="true" borderId="8" applyBorder="true" applyNumberFormat="true" numFmtId="166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" fillId="22" applyFill="true">
      <alignment horizontal="center" vertical="center"/>
    </xf>
    <xf fontId="25986" applyFont="true" borderId="8" applyBorder="true" applyNumberFormat="true" numFmtId="1" fillId="22" applyFill="true">
      <alignment horizontal="center" vertical="center"/>
    </xf>
    <xf fontId="25987" applyFont="true" borderId="8" applyBorder="true" applyNumberFormat="true" numFmtId="165" fillId="22" applyFill="true">
      <alignment horizontal="center" vertical="center"/>
    </xf>
    <xf fontId="25988" applyFont="true" borderId="8" applyBorder="true" applyNumberFormat="true" numFmtId="165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" fillId="22" applyFill="true">
      <alignment horizontal="center" vertical="center"/>
    </xf>
    <xf fontId="25998" applyFont="true" borderId="8" applyBorder="true" applyNumberFormat="true" numFmtId="167" fillId="22" applyFill="true">
      <alignment horizontal="center" vertical="center"/>
    </xf>
    <xf fontId="25999" applyFont="true" borderId="8" applyBorder="true" applyNumberFormat="true" numFmtId="167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" fillId="22" applyFill="true">
      <alignment horizontal="center" vertical="center"/>
    </xf>
    <xf fontId="26002" applyFont="true" borderId="8" applyBorder="true" applyNumberFormat="true" numFmtId="1" fillId="22" applyFill="true">
      <alignment horizontal="center" vertical="center"/>
    </xf>
    <xf fontId="26003" applyFont="true" borderId="8" applyBorder="true" applyNumberFormat="true" numFmtId="167" fillId="22" applyFill="true">
      <alignment horizontal="center" vertical="center"/>
    </xf>
    <xf fontId="26004" applyFont="true" borderId="8" applyBorder="true" applyNumberFormat="true" numFmtId="166" fillId="22" applyFill="true">
      <alignment horizontal="center" vertical="center"/>
    </xf>
    <xf fontId="26005" applyFont="true" borderId="8" applyBorder="true" applyNumberFormat="true" numFmtId="166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67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1" fillId="22" applyFill="true">
      <alignment horizontal="center" vertical="center"/>
    </xf>
    <xf fontId="26020" applyFont="true" borderId="8" applyBorder="true" applyNumberFormat="true" numFmtId="167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2" fillId="22" applyFill="true">
      <alignment horizontal="center" vertical="center"/>
    </xf>
    <xf fontId="26054" applyFont="true" borderId="8" applyBorder="true" applyNumberFormat="true" numFmtId="2" fillId="22" applyFill="true">
      <alignment horizontal="center" vertical="center"/>
    </xf>
    <xf fontId="26055" applyFont="true" borderId="8" applyBorder="true" applyNumberFormat="true" numFmtId="165" fillId="19" applyFill="true">
      <alignment horizontal="left" vertical="center"/>
    </xf>
    <xf fontId="26056" applyFont="true" borderId="8" applyBorder="true" applyNumberFormat="true" numFmtId="165" fillId="22" applyFill="true">
      <alignment horizontal="center" vertical="center"/>
    </xf>
    <xf fontId="26057" applyFont="true" borderId="8" applyBorder="true" applyNumberFormat="true" numFmtId="166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" fillId="22" applyFill="true">
      <alignment horizontal="center" vertical="center"/>
    </xf>
    <xf fontId="26064" applyFont="true" borderId="8" applyBorder="true" applyNumberFormat="true" numFmtId="1" fillId="22" applyFill="true">
      <alignment horizontal="center" vertical="center"/>
    </xf>
    <xf fontId="26065" applyFont="true" borderId="8" applyBorder="true" applyNumberFormat="true" numFmtId="165" fillId="22" applyFill="true">
      <alignment horizontal="center" vertical="center"/>
    </xf>
    <xf fontId="26066" applyFont="true" borderId="8" applyBorder="true" applyNumberFormat="true" numFmtId="165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" fillId="22" applyFill="true">
      <alignment horizontal="center" vertical="center"/>
    </xf>
    <xf fontId="26076" applyFont="true" borderId="8" applyBorder="true" applyNumberFormat="true" numFmtId="167" fillId="22" applyFill="true">
      <alignment horizontal="center" vertical="center"/>
    </xf>
    <xf fontId="26077" applyFont="true" borderId="8" applyBorder="true" applyNumberFormat="true" numFmtId="167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" fillId="22" applyFill="true">
      <alignment horizontal="center" vertical="center"/>
    </xf>
    <xf fontId="26080" applyFont="true" borderId="8" applyBorder="true" applyNumberFormat="true" numFmtId="1" fillId="22" applyFill="true">
      <alignment horizontal="center" vertical="center"/>
    </xf>
    <xf fontId="26081" applyFont="true" borderId="8" applyBorder="true" applyNumberFormat="true" numFmtId="167" fillId="22" applyFill="true">
      <alignment horizontal="center" vertical="center"/>
    </xf>
    <xf fontId="26082" applyFont="true" borderId="8" applyBorder="true" applyNumberFormat="true" numFmtId="166" fillId="22" applyFill="true">
      <alignment horizontal="center" vertical="center"/>
    </xf>
    <xf fontId="26083" applyFont="true" borderId="8" applyBorder="true" applyNumberFormat="true" numFmtId="166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67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1" fillId="22" applyFill="true">
      <alignment horizontal="center" vertical="center"/>
    </xf>
    <xf fontId="26098" applyFont="true" borderId="8" applyBorder="true" applyNumberFormat="true" numFmtId="167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2" fillId="22" applyFill="true">
      <alignment horizontal="center" vertical="center"/>
    </xf>
    <xf fontId="26132" applyFont="true" borderId="8" applyBorder="true" applyNumberFormat="true" numFmtId="2" fillId="22" applyFill="true">
      <alignment horizontal="center" vertical="center"/>
    </xf>
    <xf fontId="26133" applyFont="true" borderId="8" applyBorder="true" applyNumberFormat="true" numFmtId="165" fillId="19" applyFill="true">
      <alignment horizontal="left" vertical="center"/>
    </xf>
    <xf fontId="26134" applyFont="true" borderId="8" applyBorder="true" applyNumberFormat="true" numFmtId="165" fillId="22" applyFill="true">
      <alignment horizontal="center" vertical="center"/>
    </xf>
    <xf fontId="26135" applyFont="true" borderId="8" applyBorder="true" applyNumberFormat="true" numFmtId="166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" fillId="22" applyFill="true">
      <alignment horizontal="center" vertical="center"/>
    </xf>
    <xf fontId="26142" applyFont="true" borderId="8" applyBorder="true" applyNumberFormat="true" numFmtId="1" fillId="22" applyFill="true">
      <alignment horizontal="center" vertical="center"/>
    </xf>
    <xf fontId="26143" applyFont="true" borderId="8" applyBorder="true" applyNumberFormat="true" numFmtId="165" fillId="22" applyFill="true">
      <alignment horizontal="center" vertical="center"/>
    </xf>
    <xf fontId="26144" applyFont="true" borderId="8" applyBorder="true" applyNumberFormat="true" numFmtId="165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" fillId="22" applyFill="true">
      <alignment horizontal="center" vertical="center"/>
    </xf>
    <xf fontId="26154" applyFont="true" borderId="8" applyBorder="true" applyNumberFormat="true" numFmtId="167" fillId="22" applyFill="true">
      <alignment horizontal="center" vertical="center"/>
    </xf>
    <xf fontId="26155" applyFont="true" borderId="8" applyBorder="true" applyNumberFormat="true" numFmtId="167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" fillId="22" applyFill="true">
      <alignment horizontal="center" vertical="center"/>
    </xf>
    <xf fontId="26158" applyFont="true" borderId="8" applyBorder="true" applyNumberFormat="true" numFmtId="1" fillId="22" applyFill="true">
      <alignment horizontal="center" vertical="center"/>
    </xf>
    <xf fontId="26159" applyFont="true" borderId="8" applyBorder="true" applyNumberFormat="true" numFmtId="167" fillId="22" applyFill="true">
      <alignment horizontal="center" vertical="center"/>
    </xf>
    <xf fontId="26160" applyFont="true" borderId="8" applyBorder="true" applyNumberFormat="true" numFmtId="166" fillId="22" applyFill="true">
      <alignment horizontal="center" vertical="center"/>
    </xf>
    <xf fontId="26161" applyFont="true" borderId="8" applyBorder="true" applyNumberFormat="true" numFmtId="166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67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1" fillId="22" applyFill="true">
      <alignment horizontal="center" vertical="center"/>
    </xf>
    <xf fontId="26176" applyFont="true" borderId="8" applyBorder="true" applyNumberFormat="true" numFmtId="167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2" fillId="22" applyFill="true">
      <alignment horizontal="center" vertical="center"/>
    </xf>
    <xf fontId="26210" applyFont="true" borderId="8" applyBorder="true" applyNumberFormat="true" numFmtId="2" fillId="22" applyFill="true">
      <alignment horizontal="center" vertical="center"/>
    </xf>
    <xf fontId="26211" applyFont="true" borderId="8" applyBorder="true" applyNumberFormat="true" numFmtId="165" fillId="19" applyFill="true">
      <alignment horizontal="left" vertical="center"/>
    </xf>
    <xf fontId="26212" applyFont="true" borderId="8" applyBorder="true" applyNumberFormat="true" numFmtId="165" fillId="22" applyFill="true">
      <alignment horizontal="center" vertical="center"/>
    </xf>
    <xf fontId="26213" applyFont="true" borderId="8" applyBorder="true" applyNumberFormat="true" numFmtId="166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" fillId="22" applyFill="true">
      <alignment horizontal="center" vertical="center"/>
    </xf>
    <xf fontId="26220" applyFont="true" borderId="8" applyBorder="true" applyNumberFormat="true" numFmtId="1" fillId="22" applyFill="true">
      <alignment horizontal="center" vertical="center"/>
    </xf>
    <xf fontId="26221" applyFont="true" borderId="8" applyBorder="true" applyNumberFormat="true" numFmtId="165" fillId="22" applyFill="true">
      <alignment horizontal="center" vertical="center"/>
    </xf>
    <xf fontId="26222" applyFont="true" borderId="8" applyBorder="true" applyNumberFormat="true" numFmtId="165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" fillId="22" applyFill="true">
      <alignment horizontal="center" vertical="center"/>
    </xf>
    <xf fontId="26232" applyFont="true" borderId="8" applyBorder="true" applyNumberFormat="true" numFmtId="167" fillId="22" applyFill="true">
      <alignment horizontal="center" vertical="center"/>
    </xf>
    <xf fontId="26233" applyFont="true" borderId="8" applyBorder="true" applyNumberFormat="true" numFmtId="167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" fillId="22" applyFill="true">
      <alignment horizontal="center" vertical="center"/>
    </xf>
    <xf fontId="26236" applyFont="true" borderId="8" applyBorder="true" applyNumberFormat="true" numFmtId="1" fillId="22" applyFill="true">
      <alignment horizontal="center" vertical="center"/>
    </xf>
    <xf fontId="26237" applyFont="true" borderId="8" applyBorder="true" applyNumberFormat="true" numFmtId="167" fillId="22" applyFill="true">
      <alignment horizontal="center" vertical="center"/>
    </xf>
    <xf fontId="26238" applyFont="true" borderId="8" applyBorder="true" applyNumberFormat="true" numFmtId="166" fillId="22" applyFill="true">
      <alignment horizontal="center" vertical="center"/>
    </xf>
    <xf fontId="26239" applyFont="true" borderId="8" applyBorder="true" applyNumberFormat="true" numFmtId="166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67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1" fillId="22" applyFill="true">
      <alignment horizontal="center" vertical="center"/>
    </xf>
    <xf fontId="26254" applyFont="true" borderId="8" applyBorder="true" applyNumberFormat="true" numFmtId="167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2" fillId="22" applyFill="true">
      <alignment horizontal="center" vertical="center"/>
    </xf>
    <xf fontId="26288" applyFont="true" borderId="8" applyBorder="true" applyNumberFormat="true" numFmtId="2" fillId="22" applyFill="true">
      <alignment horizontal="center" vertical="center"/>
    </xf>
    <xf fontId="26289" applyFont="true" borderId="8" applyBorder="true" applyNumberFormat="true" numFmtId="165" fillId="19" applyFill="true">
      <alignment horizontal="left" vertical="center"/>
    </xf>
    <xf fontId="26290" applyFont="true" borderId="8" applyBorder="true" applyNumberFormat="true" numFmtId="165" fillId="22" applyFill="true">
      <alignment horizontal="center" vertical="center"/>
    </xf>
    <xf fontId="26291" applyFont="true" borderId="8" applyBorder="true" applyNumberFormat="true" numFmtId="166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" fillId="22" applyFill="true">
      <alignment horizontal="center" vertical="center"/>
    </xf>
    <xf fontId="26298" applyFont="true" borderId="8" applyBorder="true" applyNumberFormat="true" numFmtId="1" fillId="22" applyFill="true">
      <alignment horizontal="center" vertical="center"/>
    </xf>
    <xf fontId="26299" applyFont="true" borderId="8" applyBorder="true" applyNumberFormat="true" numFmtId="165" fillId="22" applyFill="true">
      <alignment horizontal="center" vertical="center"/>
    </xf>
    <xf fontId="26300" applyFont="true" borderId="8" applyBorder="true" applyNumberFormat="true" numFmtId="165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" fillId="22" applyFill="true">
      <alignment horizontal="center" vertical="center"/>
    </xf>
    <xf fontId="26310" applyFont="true" borderId="8" applyBorder="true" applyNumberFormat="true" numFmtId="167" fillId="22" applyFill="true">
      <alignment horizontal="center" vertical="center"/>
    </xf>
    <xf fontId="26311" applyFont="true" borderId="8" applyBorder="true" applyNumberFormat="true" numFmtId="167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" fillId="22" applyFill="true">
      <alignment horizontal="center" vertical="center"/>
    </xf>
    <xf fontId="26314" applyFont="true" borderId="8" applyBorder="true" applyNumberFormat="true" numFmtId="1" fillId="22" applyFill="true">
      <alignment horizontal="center" vertical="center"/>
    </xf>
    <xf fontId="26315" applyFont="true" borderId="8" applyBorder="true" applyNumberFormat="true" numFmtId="167" fillId="22" applyFill="true">
      <alignment horizontal="center" vertical="center"/>
    </xf>
    <xf fontId="26316" applyFont="true" borderId="8" applyBorder="true" applyNumberFormat="true" numFmtId="166" fillId="22" applyFill="true">
      <alignment horizontal="center" vertical="center"/>
    </xf>
    <xf fontId="26317" applyFont="true" borderId="8" applyBorder="true" applyNumberFormat="true" numFmtId="166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67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1" fillId="22" applyFill="true">
      <alignment horizontal="center" vertical="center"/>
    </xf>
    <xf fontId="26332" applyFont="true" borderId="8" applyBorder="true" applyNumberFormat="true" numFmtId="167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2" fillId="22" applyFill="true">
      <alignment horizontal="center" vertical="center"/>
    </xf>
    <xf fontId="26366" applyFont="true" borderId="8" applyBorder="true" applyNumberFormat="true" numFmtId="2" fillId="22" applyFill="true">
      <alignment horizontal="center" vertical="center"/>
    </xf>
    <xf fontId="26367" applyFont="true" borderId="8" applyBorder="true" applyNumberFormat="true" numFmtId="165" fillId="19" applyFill="true">
      <alignment horizontal="left" vertical="center"/>
    </xf>
    <xf fontId="26368" applyFont="true" borderId="8" applyBorder="true" applyNumberFormat="true" numFmtId="165" fillId="22" applyFill="true">
      <alignment horizontal="center" vertical="center"/>
    </xf>
    <xf fontId="26369" applyFont="true" borderId="8" applyBorder="true" applyNumberFormat="true" numFmtId="166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" fillId="22" applyFill="true">
      <alignment horizontal="center" vertical="center"/>
    </xf>
    <xf fontId="26376" applyFont="true" borderId="8" applyBorder="true" applyNumberFormat="true" numFmtId="1" fillId="22" applyFill="true">
      <alignment horizontal="center" vertical="center"/>
    </xf>
    <xf fontId="26377" applyFont="true" borderId="8" applyBorder="true" applyNumberFormat="true" numFmtId="165" fillId="22" applyFill="true">
      <alignment horizontal="center" vertical="center"/>
    </xf>
    <xf fontId="26378" applyFont="true" borderId="8" applyBorder="true" applyNumberFormat="true" numFmtId="165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" fillId="22" applyFill="true">
      <alignment horizontal="center" vertical="center"/>
    </xf>
    <xf fontId="26388" applyFont="true" borderId="8" applyBorder="true" applyNumberFormat="true" numFmtId="167" fillId="22" applyFill="true">
      <alignment horizontal="center" vertical="center"/>
    </xf>
    <xf fontId="26389" applyFont="true" borderId="8" applyBorder="true" applyNumberFormat="true" numFmtId="167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" fillId="22" applyFill="true">
      <alignment horizontal="center" vertical="center"/>
    </xf>
    <xf fontId="26392" applyFont="true" borderId="8" applyBorder="true" applyNumberFormat="true" numFmtId="1" fillId="22" applyFill="true">
      <alignment horizontal="center" vertical="center"/>
    </xf>
    <xf fontId="26393" applyFont="true" borderId="8" applyBorder="true" applyNumberFormat="true" numFmtId="167" fillId="22" applyFill="true">
      <alignment horizontal="center" vertical="center"/>
    </xf>
    <xf fontId="26394" applyFont="true" borderId="8" applyBorder="true" applyNumberFormat="true" numFmtId="166" fillId="22" applyFill="true">
      <alignment horizontal="center" vertical="center"/>
    </xf>
    <xf fontId="26395" applyFont="true" borderId="8" applyBorder="true" applyNumberFormat="true" numFmtId="166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67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1" fillId="22" applyFill="true">
      <alignment horizontal="center" vertical="center"/>
    </xf>
    <xf fontId="26410" applyFont="true" borderId="8" applyBorder="true" applyNumberFormat="true" numFmtId="167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2" fillId="22" applyFill="true">
      <alignment horizontal="center" vertical="center"/>
    </xf>
    <xf fontId="26444" applyFont="true" borderId="8" applyBorder="true" applyNumberFormat="true" numFmtId="2" fillId="22" applyFill="true">
      <alignment horizontal="center" vertical="center"/>
    </xf>
    <xf fontId="26445" applyFont="true" borderId="8" applyBorder="true" applyNumberFormat="true" numFmtId="165" fillId="19" applyFill="true">
      <alignment horizontal="left" vertical="center"/>
    </xf>
    <xf fontId="26446" applyFont="true" borderId="8" applyBorder="true" applyNumberFormat="true" numFmtId="165" fillId="22" applyFill="true">
      <alignment horizontal="center" vertical="center"/>
    </xf>
    <xf fontId="26447" applyFont="true" borderId="8" applyBorder="true" applyNumberFormat="true" numFmtId="166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" fillId="22" applyFill="true">
      <alignment horizontal="center" vertical="center"/>
    </xf>
    <xf fontId="26454" applyFont="true" borderId="8" applyBorder="true" applyNumberFormat="true" numFmtId="1" fillId="22" applyFill="true">
      <alignment horizontal="center" vertical="center"/>
    </xf>
    <xf fontId="26455" applyFont="true" borderId="8" applyBorder="true" applyNumberFormat="true" numFmtId="165" fillId="22" applyFill="true">
      <alignment horizontal="center" vertical="center"/>
    </xf>
    <xf fontId="26456" applyFont="true" borderId="8" applyBorder="true" applyNumberFormat="true" numFmtId="165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" fillId="22" applyFill="true">
      <alignment horizontal="center" vertical="center"/>
    </xf>
    <xf fontId="26466" applyFont="true" borderId="8" applyBorder="true" applyNumberFormat="true" numFmtId="167" fillId="22" applyFill="true">
      <alignment horizontal="center" vertical="center"/>
    </xf>
    <xf fontId="26467" applyFont="true" borderId="8" applyBorder="true" applyNumberFormat="true" numFmtId="167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" fillId="22" applyFill="true">
      <alignment horizontal="center" vertical="center"/>
    </xf>
    <xf fontId="26470" applyFont="true" borderId="8" applyBorder="true" applyNumberFormat="true" numFmtId="1" fillId="22" applyFill="true">
      <alignment horizontal="center" vertical="center"/>
    </xf>
    <xf fontId="26471" applyFont="true" borderId="8" applyBorder="true" applyNumberFormat="true" numFmtId="167" fillId="22" applyFill="true">
      <alignment horizontal="center" vertical="center"/>
    </xf>
    <xf fontId="26472" applyFont="true" borderId="8" applyBorder="true" applyNumberFormat="true" numFmtId="166" fillId="22" applyFill="true">
      <alignment horizontal="center" vertical="center"/>
    </xf>
    <xf fontId="26473" applyFont="true" borderId="8" applyBorder="true" applyNumberFormat="true" numFmtId="166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67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1" fillId="22" applyFill="true">
      <alignment horizontal="center" vertical="center"/>
    </xf>
    <xf fontId="26488" applyFont="true" borderId="8" applyBorder="true" applyNumberFormat="true" numFmtId="167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2" fillId="22" applyFill="true">
      <alignment horizontal="center" vertical="center"/>
    </xf>
    <xf fontId="26522" applyFont="true" borderId="8" applyBorder="true" applyNumberFormat="true" numFmtId="2" fillId="22" applyFill="true">
      <alignment horizontal="center" vertical="center"/>
    </xf>
    <xf fontId="26523" applyFont="true" borderId="8" applyBorder="true" applyNumberFormat="true" numFmtId="165" fillId="19" applyFill="true">
      <alignment horizontal="left" vertical="center"/>
    </xf>
    <xf fontId="26524" applyFont="true" borderId="8" applyBorder="true" applyNumberFormat="true" numFmtId="165" fillId="22" applyFill="true">
      <alignment horizontal="center" vertical="center"/>
    </xf>
    <xf fontId="26525" applyFont="true" borderId="8" applyBorder="true" applyNumberFormat="true" numFmtId="166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" fillId="22" applyFill="true">
      <alignment horizontal="center" vertical="center"/>
    </xf>
    <xf fontId="26532" applyFont="true" borderId="8" applyBorder="true" applyNumberFormat="true" numFmtId="1" fillId="22" applyFill="true">
      <alignment horizontal="center" vertical="center"/>
    </xf>
    <xf fontId="26533" applyFont="true" borderId="8" applyBorder="true" applyNumberFormat="true" numFmtId="165" fillId="22" applyFill="true">
      <alignment horizontal="center" vertical="center"/>
    </xf>
    <xf fontId="26534" applyFont="true" borderId="8" applyBorder="true" applyNumberFormat="true" numFmtId="165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" fillId="22" applyFill="true">
      <alignment horizontal="center" vertical="center"/>
    </xf>
    <xf fontId="26544" applyFont="true" borderId="8" applyBorder="true" applyNumberFormat="true" numFmtId="167" fillId="22" applyFill="true">
      <alignment horizontal="center" vertical="center"/>
    </xf>
    <xf fontId="26545" applyFont="true" borderId="8" applyBorder="true" applyNumberFormat="true" numFmtId="167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" fillId="22" applyFill="true">
      <alignment horizontal="center" vertical="center"/>
    </xf>
    <xf fontId="26548" applyFont="true" borderId="8" applyBorder="true" applyNumberFormat="true" numFmtId="1" fillId="22" applyFill="true">
      <alignment horizontal="center" vertical="center"/>
    </xf>
    <xf fontId="26549" applyFont="true" borderId="8" applyBorder="true" applyNumberFormat="true" numFmtId="167" fillId="22" applyFill="true">
      <alignment horizontal="center" vertical="center"/>
    </xf>
    <xf fontId="26550" applyFont="true" borderId="8" applyBorder="true" applyNumberFormat="true" numFmtId="166" fillId="22" applyFill="true">
      <alignment horizontal="center" vertical="center"/>
    </xf>
    <xf fontId="26551" applyFont="true" borderId="8" applyBorder="true" applyNumberFormat="true" numFmtId="166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67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1" fillId="22" applyFill="true">
      <alignment horizontal="center" vertical="center"/>
    </xf>
    <xf fontId="26566" applyFont="true" borderId="8" applyBorder="true" applyNumberFormat="true" numFmtId="167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2" fillId="22" applyFill="true">
      <alignment horizontal="center" vertical="center"/>
    </xf>
    <xf fontId="26600" applyFont="true" borderId="8" applyBorder="true" applyNumberFormat="true" numFmtId="2" fillId="22" applyFill="true">
      <alignment horizontal="center" vertical="center"/>
    </xf>
    <xf fontId="26601" applyFont="true" borderId="8" applyBorder="true" applyNumberFormat="true" numFmtId="165" fillId="19" applyFill="true">
      <alignment horizontal="left" vertical="center"/>
    </xf>
    <xf fontId="26602" applyFont="true" borderId="8" applyBorder="true" applyNumberFormat="true" numFmtId="165" fillId="22" applyFill="true">
      <alignment horizontal="center" vertical="center"/>
    </xf>
    <xf fontId="26603" applyFont="true" borderId="8" applyBorder="true" applyNumberFormat="true" numFmtId="166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" fillId="22" applyFill="true">
      <alignment horizontal="center" vertical="center"/>
    </xf>
    <xf fontId="26610" applyFont="true" borderId="8" applyBorder="true" applyNumberFormat="true" numFmtId="1" fillId="22" applyFill="true">
      <alignment horizontal="center" vertical="center"/>
    </xf>
    <xf fontId="26611" applyFont="true" borderId="8" applyBorder="true" applyNumberFormat="true" numFmtId="165" fillId="22" applyFill="true">
      <alignment horizontal="center" vertical="center"/>
    </xf>
    <xf fontId="26612" applyFont="true" borderId="8" applyBorder="true" applyNumberFormat="true" numFmtId="165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" fillId="22" applyFill="true">
      <alignment horizontal="center" vertical="center"/>
    </xf>
    <xf fontId="26622" applyFont="true" borderId="8" applyBorder="true" applyNumberFormat="true" numFmtId="167" fillId="22" applyFill="true">
      <alignment horizontal="center" vertical="center"/>
    </xf>
    <xf fontId="26623" applyFont="true" borderId="8" applyBorder="true" applyNumberFormat="true" numFmtId="167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" fillId="22" applyFill="true">
      <alignment horizontal="center" vertical="center"/>
    </xf>
    <xf fontId="26626" applyFont="true" borderId="8" applyBorder="true" applyNumberFormat="true" numFmtId="1" fillId="22" applyFill="true">
      <alignment horizontal="center" vertical="center"/>
    </xf>
    <xf fontId="26627" applyFont="true" borderId="8" applyBorder="true" applyNumberFormat="true" numFmtId="167" fillId="22" applyFill="true">
      <alignment horizontal="center" vertical="center"/>
    </xf>
    <xf fontId="26628" applyFont="true" borderId="8" applyBorder="true" applyNumberFormat="true" numFmtId="166" fillId="22" applyFill="true">
      <alignment horizontal="center" vertical="center"/>
    </xf>
    <xf fontId="26629" applyFont="true" borderId="8" applyBorder="true" applyNumberFormat="true" numFmtId="166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67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1" fillId="22" applyFill="true">
      <alignment horizontal="center" vertical="center"/>
    </xf>
    <xf fontId="26644" applyFont="true" borderId="8" applyBorder="true" applyNumberFormat="true" numFmtId="167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2" fillId="22" applyFill="true">
      <alignment horizontal="center" vertical="center"/>
    </xf>
    <xf fontId="26678" applyFont="true" borderId="8" applyBorder="true" applyNumberFormat="true" numFmtId="2" fillId="22" applyFill="true">
      <alignment horizontal="center" vertical="center"/>
    </xf>
    <xf fontId="26679" applyFont="true" borderId="8" applyBorder="true" applyNumberFormat="true" numFmtId="165" fillId="19" applyFill="true">
      <alignment horizontal="left" vertical="center"/>
    </xf>
    <xf fontId="26680" applyFont="true" borderId="8" applyBorder="true" applyNumberFormat="true" numFmtId="165" fillId="22" applyFill="true">
      <alignment horizontal="center" vertical="center"/>
    </xf>
    <xf fontId="26681" applyFont="true" borderId="8" applyBorder="true" applyNumberFormat="true" numFmtId="166" fillId="22" applyFill="true">
      <alignment horizontal="center" vertical="center"/>
    </xf>
    <xf fontId="26682" applyFont="true" borderId="8" applyBorder="true" applyNumberFormat="true" numFmtId="1" fillId="22" applyFill="true">
      <alignment horizontal="center" vertical="center"/>
    </xf>
    <xf fontId="26683" applyFont="true" borderId="8" applyBorder="true" applyNumberFormat="true" numFmtId="1" fillId="22" applyFill="true">
      <alignment horizontal="center" vertical="center"/>
    </xf>
    <xf fontId="26684" applyFont="true" borderId="8" applyBorder="true" applyNumberFormat="true" numFmtId="1" fillId="22" applyFill="true">
      <alignment horizontal="center" vertical="center"/>
    </xf>
    <xf fontId="26685" applyFont="true" borderId="8" applyBorder="true" applyNumberFormat="true" numFmtId="1" fillId="22" applyFill="true">
      <alignment horizontal="center" vertical="center"/>
    </xf>
    <xf fontId="26686" applyFont="true" borderId="8" applyBorder="true" applyNumberFormat="true" numFmtId="1" fillId="22" applyFill="true">
      <alignment horizontal="center" vertical="center"/>
    </xf>
    <xf fontId="26687" applyFont="true" borderId="8" applyBorder="true" applyNumberFormat="true" numFmtId="1" fillId="22" applyFill="true">
      <alignment horizontal="center" vertical="center"/>
    </xf>
    <xf fontId="26688" applyFont="true" borderId="8" applyBorder="true" applyNumberFormat="true" numFmtId="1" fillId="22" applyFill="true">
      <alignment horizontal="center" vertical="center"/>
    </xf>
    <xf fontId="26689" applyFont="true" borderId="8" applyBorder="true" applyNumberFormat="true" numFmtId="165" fillId="22" applyFill="true">
      <alignment horizontal="center" vertical="center"/>
    </xf>
    <xf fontId="26690" applyFont="true" borderId="8" applyBorder="true" applyNumberFormat="true" numFmtId="165" fillId="22" applyFill="true">
      <alignment horizontal="center" vertical="center"/>
    </xf>
    <xf fontId="26691" applyFont="true" borderId="8" applyBorder="true" applyNumberFormat="true" numFmtId="1" fillId="22" applyFill="true">
      <alignment horizontal="center" vertical="center"/>
    </xf>
    <xf fontId="26692" applyFont="true" borderId="8" applyBorder="true" applyNumberFormat="true" numFmtId="1" fillId="22" applyFill="true">
      <alignment horizontal="center" vertical="center"/>
    </xf>
    <xf fontId="26693" applyFont="true" borderId="8" applyBorder="true" applyNumberFormat="true" numFmtId="1" fillId="22" applyFill="true">
      <alignment horizontal="center" vertical="center"/>
    </xf>
    <xf fontId="26694" applyFont="true" borderId="8" applyBorder="true" applyNumberFormat="true" numFmtId="167" fillId="22" applyFill="true">
      <alignment horizontal="center" vertical="center"/>
    </xf>
    <xf fontId="26695" applyFont="true" borderId="8" applyBorder="true" applyNumberFormat="true" numFmtId="1" fillId="22" applyFill="true">
      <alignment horizontal="center" vertical="center"/>
    </xf>
    <xf fontId="26696" applyFont="true" borderId="8" applyBorder="true" applyNumberFormat="true" numFmtId="167" fillId="22" applyFill="true">
      <alignment horizontal="center" vertical="center"/>
    </xf>
    <xf fontId="26697" applyFont="true" borderId="8" applyBorder="true" applyNumberFormat="true" numFmtId="1" fillId="22" applyFill="true">
      <alignment horizontal="center" vertical="center"/>
    </xf>
    <xf fontId="26698" applyFont="true" borderId="8" applyBorder="true" applyNumberFormat="true" numFmtId="167" fillId="22" applyFill="true">
      <alignment horizontal="center" vertical="center"/>
    </xf>
    <xf fontId="26699" applyFont="true" borderId="8" applyBorder="true" applyNumberFormat="true" numFmtId="1" fillId="22" applyFill="true">
      <alignment horizontal="center" vertical="center"/>
    </xf>
    <xf fontId="26700" applyFont="true" borderId="8" applyBorder="true" applyNumberFormat="true" numFmtId="167" fillId="22" applyFill="true">
      <alignment horizontal="center" vertical="center"/>
    </xf>
    <xf fontId="26701" applyFont="true" borderId="8" applyBorder="true" applyNumberFormat="true" numFmtId="167" fillId="22" applyFill="true">
      <alignment horizontal="center" vertical="center"/>
    </xf>
    <xf fontId="26702" applyFont="true" borderId="8" applyBorder="true" applyNumberFormat="true" numFmtId="1" fillId="22" applyFill="true">
      <alignment horizontal="center" vertical="center"/>
    </xf>
    <xf fontId="26703" applyFont="true" borderId="8" applyBorder="true" applyNumberFormat="true" numFmtId="1" fillId="22" applyFill="true">
      <alignment horizontal="center" vertical="center"/>
    </xf>
    <xf fontId="26704" applyFont="true" borderId="8" applyBorder="true" applyNumberFormat="true" numFmtId="1" fillId="22" applyFill="true">
      <alignment horizontal="center" vertical="center"/>
    </xf>
    <xf fontId="26705" applyFont="true" borderId="8" applyBorder="true" applyNumberFormat="true" numFmtId="167" fillId="22" applyFill="true">
      <alignment horizontal="center" vertical="center"/>
    </xf>
    <xf fontId="26706" applyFont="true" borderId="8" applyBorder="true" applyNumberFormat="true" numFmtId="166" fillId="22" applyFill="true">
      <alignment horizontal="center" vertical="center"/>
    </xf>
    <xf fontId="26707" applyFont="true" borderId="8" applyBorder="true" applyNumberFormat="true" numFmtId="166" fillId="22" applyFill="true">
      <alignment horizontal="center" vertical="center"/>
    </xf>
    <xf fontId="26708" applyFont="true" borderId="8" applyBorder="true" applyNumberFormat="true" numFmtId="1" fillId="22" applyFill="true">
      <alignment horizontal="center" vertical="center"/>
    </xf>
    <xf fontId="26709" applyFont="true" borderId="8" applyBorder="true" applyNumberFormat="true" numFmtId="1" fillId="22" applyFill="true">
      <alignment horizontal="center" vertical="center"/>
    </xf>
    <xf fontId="26710" applyFont="true" borderId="8" applyBorder="true" applyNumberFormat="true" numFmtId="1" fillId="22" applyFill="true">
      <alignment horizontal="center" vertical="center"/>
    </xf>
    <xf fontId="26711" applyFont="true" borderId="8" applyBorder="true" applyNumberFormat="true" numFmtId="167" fillId="22" applyFill="true">
      <alignment horizontal="center" vertical="center"/>
    </xf>
    <xf fontId="26712" applyFont="true" borderId="8" applyBorder="true" applyNumberFormat="true" numFmtId="1" fillId="22" applyFill="true">
      <alignment horizontal="center" vertical="center"/>
    </xf>
    <xf fontId="26713" applyFont="true" borderId="8" applyBorder="true" applyNumberFormat="true" numFmtId="167" fillId="22" applyFill="true">
      <alignment horizontal="center" vertical="center"/>
    </xf>
    <xf fontId="26714" applyFont="true" borderId="8" applyBorder="true" applyNumberFormat="true" numFmtId="1" fillId="22" applyFill="true">
      <alignment horizontal="center" vertical="center"/>
    </xf>
    <xf fontId="26715" applyFont="true" borderId="8" applyBorder="true" applyNumberFormat="true" numFmtId="1" fillId="22" applyFill="true">
      <alignment horizontal="center" vertical="center"/>
    </xf>
    <xf fontId="26716" applyFont="true" borderId="8" applyBorder="true" applyNumberFormat="true" numFmtId="1" fillId="22" applyFill="true">
      <alignment horizontal="center" vertical="center"/>
    </xf>
    <xf fontId="26717" applyFont="true" borderId="8" applyBorder="true" applyNumberFormat="true" numFmtId="1" fillId="22" applyFill="true">
      <alignment horizontal="center" vertical="center"/>
    </xf>
    <xf fontId="26718" applyFont="true" borderId="8" applyBorder="true" applyNumberFormat="true" numFmtId="167" fillId="22" applyFill="true">
      <alignment horizontal="center" vertical="center"/>
    </xf>
    <xf fontId="26719" applyFont="true" borderId="8" applyBorder="true" applyNumberFormat="true" numFmtId="1" fillId="22" applyFill="true">
      <alignment horizontal="center" vertical="center"/>
    </xf>
    <xf fontId="26720" applyFont="true" borderId="8" applyBorder="true" applyNumberFormat="true" numFmtId="167" fillId="22" applyFill="true">
      <alignment horizontal="center" vertical="center"/>
    </xf>
    <xf fontId="26721" applyFont="true" borderId="8" applyBorder="true" applyNumberFormat="true" numFmtId="1" fillId="22" applyFill="true">
      <alignment horizontal="center" vertical="center"/>
    </xf>
    <xf fontId="26722" applyFont="true" borderId="8" applyBorder="true" applyNumberFormat="true" numFmtId="167" fillId="22" applyFill="true">
      <alignment horizontal="center" vertical="center"/>
    </xf>
    <xf fontId="26723" applyFont="true" borderId="8" applyBorder="true" applyNumberFormat="true" numFmtId="2" fillId="22" applyFill="true">
      <alignment horizontal="center" vertical="center"/>
    </xf>
    <xf fontId="26724" applyFont="true" borderId="8" applyBorder="true" applyNumberFormat="true" numFmtId="2" fillId="22" applyFill="true">
      <alignment horizontal="center" vertical="center"/>
    </xf>
    <xf fontId="26725" applyFont="true" borderId="8" applyBorder="true" applyNumberFormat="true" numFmtId="2" fillId="22" applyFill="true">
      <alignment horizontal="center" vertical="center"/>
    </xf>
    <xf fontId="26726" applyFont="true" borderId="8" applyBorder="true" applyNumberFormat="true" numFmtId="2" fillId="22" applyFill="true">
      <alignment horizontal="center" vertical="center"/>
    </xf>
    <xf fontId="26727" applyFont="true" borderId="8" applyBorder="true" applyNumberFormat="true" numFmtId="2" fillId="22" applyFill="true">
      <alignment horizontal="center" vertical="center"/>
    </xf>
    <xf fontId="26728" applyFont="true" borderId="8" applyBorder="true" applyNumberFormat="true" numFmtId="2" fillId="22" applyFill="true">
      <alignment horizontal="center" vertical="center"/>
    </xf>
    <xf fontId="26729" applyFont="true" borderId="8" applyBorder="true" applyNumberFormat="true" numFmtId="2" fillId="22" applyFill="true">
      <alignment horizontal="center" vertical="center"/>
    </xf>
    <xf fontId="26730" applyFont="true" borderId="8" applyBorder="true" applyNumberFormat="true" numFmtId="2" fillId="22" applyFill="true">
      <alignment horizontal="center" vertical="center"/>
    </xf>
    <xf fontId="26731" applyFont="true" borderId="8" applyBorder="true" applyNumberFormat="true" numFmtId="2" fillId="22" applyFill="true">
      <alignment horizontal="center" vertical="center"/>
    </xf>
    <xf fontId="26732" applyFont="true" borderId="8" applyBorder="true" applyNumberFormat="true" numFmtId="2" fillId="22" applyFill="true">
      <alignment horizontal="center" vertical="center"/>
    </xf>
    <xf fontId="26733" applyFont="true" borderId="8" applyBorder="true" applyNumberFormat="true" numFmtId="2" fillId="22" applyFill="true">
      <alignment horizontal="center" vertical="center"/>
    </xf>
    <xf fontId="26734" applyFont="true" borderId="8" applyBorder="true" applyNumberFormat="true" numFmtId="2" fillId="22" applyFill="true">
      <alignment horizontal="center" vertical="center"/>
    </xf>
    <xf fontId="26735" applyFont="true" borderId="8" applyBorder="true" applyNumberFormat="true" numFmtId="2" fillId="22" applyFill="true">
      <alignment horizontal="center" vertical="center"/>
    </xf>
    <xf fontId="26736" applyFont="true" borderId="8" applyBorder="true" applyNumberFormat="true" numFmtId="2" fillId="22" applyFill="true">
      <alignment horizontal="center" vertical="center"/>
    </xf>
    <xf fontId="26737" applyFont="true" borderId="8" applyBorder="true" applyNumberFormat="true" numFmtId="2" fillId="22" applyFill="true">
      <alignment horizontal="center" vertical="center"/>
    </xf>
    <xf fontId="26738" applyFont="true" borderId="8" applyBorder="true" applyNumberFormat="true" numFmtId="2" fillId="22" applyFill="true">
      <alignment horizontal="center" vertical="center"/>
    </xf>
    <xf fontId="26739" applyFont="true" borderId="8" applyBorder="true" applyNumberFormat="true" numFmtId="2" fillId="22" applyFill="true">
      <alignment horizontal="center" vertical="center"/>
    </xf>
    <xf fontId="26740" applyFont="true" borderId="8" applyBorder="true" applyNumberFormat="true" numFmtId="2" fillId="22" applyFill="true">
      <alignment horizontal="center" vertical="center"/>
    </xf>
    <xf fontId="26741" applyFont="true" borderId="8" applyBorder="true" applyNumberFormat="true" numFmtId="2" fillId="22" applyFill="true">
      <alignment horizontal="center" vertical="center"/>
    </xf>
    <xf fontId="26742" applyFont="true" borderId="8" applyBorder="true" applyNumberFormat="true" numFmtId="2" fillId="22" applyFill="true">
      <alignment horizontal="center" vertical="center"/>
    </xf>
    <xf fontId="26743" applyFont="true" borderId="8" applyBorder="true" applyNumberFormat="true" numFmtId="2" fillId="22" applyFill="true">
      <alignment horizontal="center" vertical="center"/>
    </xf>
    <xf fontId="26744" applyFont="true" borderId="8" applyBorder="true" applyNumberFormat="true" numFmtId="2" fillId="22" applyFill="true">
      <alignment horizontal="center" vertical="center"/>
    </xf>
    <xf fontId="26745" applyFont="true" borderId="8" applyBorder="true" applyNumberFormat="true" numFmtId="2" fillId="22" applyFill="true">
      <alignment horizontal="center" vertical="center"/>
    </xf>
    <xf fontId="26746" applyFont="true" borderId="8" applyBorder="true" applyNumberFormat="true" numFmtId="2" fillId="22" applyFill="true">
      <alignment horizontal="center" vertical="center"/>
    </xf>
    <xf fontId="26747" applyFont="true" borderId="8" applyBorder="true" applyNumberFormat="true" numFmtId="2" fillId="22" applyFill="true">
      <alignment horizontal="center" vertical="center"/>
    </xf>
    <xf fontId="26748" applyFont="true" borderId="8" applyBorder="true" applyNumberFormat="true" numFmtId="2" fillId="22" applyFill="true">
      <alignment horizontal="center" vertical="center"/>
    </xf>
    <xf fontId="26749" applyFont="true" borderId="8" applyBorder="true" applyNumberFormat="true" numFmtId="2" fillId="22" applyFill="true">
      <alignment horizontal="center" vertical="center"/>
    </xf>
    <xf fontId="26750" applyFont="true" borderId="8" applyBorder="true" applyNumberFormat="true" numFmtId="2" fillId="22" applyFill="true">
      <alignment horizontal="center" vertical="center"/>
    </xf>
    <xf fontId="26751" applyFont="true" borderId="8" applyBorder="true" applyNumberFormat="true" numFmtId="2" fillId="22" applyFill="true">
      <alignment horizontal="center" vertical="center"/>
    </xf>
    <xf fontId="26752" applyFont="true" borderId="8" applyBorder="true" applyNumberFormat="true" numFmtId="2" fillId="22" applyFill="true">
      <alignment horizontal="center" vertical="center"/>
    </xf>
    <xf fontId="26753" applyFont="true" borderId="8" applyBorder="true" applyNumberFormat="true" numFmtId="2" fillId="22" applyFill="true">
      <alignment horizontal="center" vertical="center"/>
    </xf>
    <xf fontId="26754" applyFont="true" borderId="8" applyBorder="true" applyNumberFormat="true" numFmtId="2" fillId="22" applyFill="true">
      <alignment horizontal="center" vertical="center"/>
    </xf>
    <xf fontId="26755" applyFont="true" borderId="8" applyBorder="true" applyNumberFormat="true" numFmtId="2" fillId="22" applyFill="true">
      <alignment horizontal="center" vertical="center"/>
    </xf>
    <xf fontId="26756" applyFont="true" borderId="8" applyBorder="true" applyNumberFormat="true" numFmtId="2" fillId="22" applyFill="true">
      <alignment horizontal="center" vertical="center"/>
    </xf>
    <xf fontId="26757" applyFont="true" borderId="8" applyBorder="true" applyNumberFormat="true" numFmtId="165" fillId="19" applyFill="true">
      <alignment horizontal="left" vertical="center"/>
    </xf>
    <xf fontId="26758" applyFont="true" borderId="8" applyBorder="true" applyNumberFormat="true" numFmtId="165" fillId="22" applyFill="true">
      <alignment horizontal="center" vertical="center"/>
    </xf>
    <xf fontId="26759" applyFont="true" borderId="8" applyBorder="true" applyNumberFormat="true" numFmtId="166" fillId="22" applyFill="true">
      <alignment horizontal="center" vertical="center"/>
    </xf>
    <xf fontId="26760" applyFont="true" borderId="8" applyBorder="true" applyNumberFormat="true" numFmtId="1" fillId="22" applyFill="true">
      <alignment horizontal="center" vertical="center"/>
    </xf>
    <xf fontId="26761" applyFont="true" borderId="8" applyBorder="true" applyNumberFormat="true" numFmtId="1" fillId="22" applyFill="true">
      <alignment horizontal="center" vertical="center"/>
    </xf>
    <xf fontId="26762" applyFont="true" borderId="8" applyBorder="true" applyNumberFormat="true" numFmtId="1" fillId="22" applyFill="true">
      <alignment horizontal="center" vertical="center"/>
    </xf>
    <xf fontId="26763" applyFont="true" borderId="8" applyBorder="true" applyNumberFormat="true" numFmtId="1" fillId="22" applyFill="true">
      <alignment horizontal="center" vertical="center"/>
    </xf>
    <xf fontId="26764" applyFont="true" borderId="8" applyBorder="true" applyNumberFormat="true" numFmtId="1" fillId="22" applyFill="true">
      <alignment horizontal="center" vertical="center"/>
    </xf>
    <xf fontId="26765" applyFont="true" borderId="8" applyBorder="true" applyNumberFormat="true" numFmtId="1" fillId="22" applyFill="true">
      <alignment horizontal="center" vertical="center"/>
    </xf>
    <xf fontId="26766" applyFont="true" borderId="8" applyBorder="true" applyNumberFormat="true" numFmtId="1" fillId="22" applyFill="true">
      <alignment horizontal="center" vertical="center"/>
    </xf>
    <xf fontId="26767" applyFont="true" borderId="8" applyBorder="true" applyNumberFormat="true" numFmtId="165" fillId="22" applyFill="true">
      <alignment horizontal="center" vertical="center"/>
    </xf>
    <xf fontId="26768" applyFont="true" borderId="8" applyBorder="true" applyNumberFormat="true" numFmtId="165" fillId="22" applyFill="true">
      <alignment horizontal="center" vertical="center"/>
    </xf>
    <xf fontId="26769" applyFont="true" borderId="8" applyBorder="true" applyNumberFormat="true" numFmtId="1" fillId="22" applyFill="true">
      <alignment horizontal="center" vertical="center"/>
    </xf>
    <xf fontId="26770" applyFont="true" borderId="8" applyBorder="true" applyNumberFormat="true" numFmtId="1" fillId="22" applyFill="true">
      <alignment horizontal="center" vertical="center"/>
    </xf>
    <xf fontId="26771" applyFont="true" borderId="8" applyBorder="true" applyNumberFormat="true" numFmtId="1" fillId="22" applyFill="true">
      <alignment horizontal="center" vertical="center"/>
    </xf>
    <xf fontId="26772" applyFont="true" borderId="8" applyBorder="true" applyNumberFormat="true" numFmtId="167" fillId="22" applyFill="true">
      <alignment horizontal="center" vertical="center"/>
    </xf>
    <xf fontId="26773" applyFont="true" borderId="8" applyBorder="true" applyNumberFormat="true" numFmtId="1" fillId="22" applyFill="true">
      <alignment horizontal="center" vertical="center"/>
    </xf>
    <xf fontId="26774" applyFont="true" borderId="8" applyBorder="true" applyNumberFormat="true" numFmtId="167" fillId="22" applyFill="true">
      <alignment horizontal="center" vertical="center"/>
    </xf>
    <xf fontId="26775" applyFont="true" borderId="8" applyBorder="true" applyNumberFormat="true" numFmtId="1" fillId="22" applyFill="true">
      <alignment horizontal="center" vertical="center"/>
    </xf>
    <xf fontId="26776" applyFont="true" borderId="8" applyBorder="true" applyNumberFormat="true" numFmtId="167" fillId="22" applyFill="true">
      <alignment horizontal="center" vertical="center"/>
    </xf>
    <xf fontId="26777" applyFont="true" borderId="8" applyBorder="true" applyNumberFormat="true" numFmtId="1" fillId="22" applyFill="true">
      <alignment horizontal="center" vertical="center"/>
    </xf>
    <xf fontId="26778" applyFont="true" borderId="8" applyBorder="true" applyNumberFormat="true" numFmtId="167" fillId="22" applyFill="true">
      <alignment horizontal="center" vertical="center"/>
    </xf>
    <xf fontId="26779" applyFont="true" borderId="8" applyBorder="true" applyNumberFormat="true" numFmtId="167" fillId="22" applyFill="true">
      <alignment horizontal="center" vertical="center"/>
    </xf>
    <xf fontId="26780" applyFont="true" borderId="8" applyBorder="true" applyNumberFormat="true" numFmtId="1" fillId="22" applyFill="true">
      <alignment horizontal="center" vertical="center"/>
    </xf>
    <xf fontId="26781" applyFont="true" borderId="8" applyBorder="true" applyNumberFormat="true" numFmtId="1" fillId="22" applyFill="true">
      <alignment horizontal="center" vertical="center"/>
    </xf>
    <xf fontId="26782" applyFont="true" borderId="8" applyBorder="true" applyNumberFormat="true" numFmtId="1" fillId="22" applyFill="true">
      <alignment horizontal="center" vertical="center"/>
    </xf>
    <xf fontId="26783" applyFont="true" borderId="8" applyBorder="true" applyNumberFormat="true" numFmtId="167" fillId="22" applyFill="true">
      <alignment horizontal="center" vertical="center"/>
    </xf>
    <xf fontId="26784" applyFont="true" borderId="8" applyBorder="true" applyNumberFormat="true" numFmtId="166" fillId="22" applyFill="true">
      <alignment horizontal="center" vertical="center"/>
    </xf>
    <xf fontId="26785" applyFont="true" borderId="8" applyBorder="true" applyNumberFormat="true" numFmtId="166" fillId="22" applyFill="true">
      <alignment horizontal="center" vertical="center"/>
    </xf>
    <xf fontId="26786" applyFont="true" borderId="8" applyBorder="true" applyNumberFormat="true" numFmtId="1" fillId="22" applyFill="true">
      <alignment horizontal="center" vertical="center"/>
    </xf>
    <xf fontId="26787" applyFont="true" borderId="8" applyBorder="true" applyNumberFormat="true" numFmtId="1" fillId="22" applyFill="true">
      <alignment horizontal="center" vertical="center"/>
    </xf>
    <xf fontId="26788" applyFont="true" borderId="8" applyBorder="true" applyNumberFormat="true" numFmtId="1" fillId="22" applyFill="true">
      <alignment horizontal="center" vertical="center"/>
    </xf>
    <xf fontId="26789" applyFont="true" borderId="8" applyBorder="true" applyNumberFormat="true" numFmtId="167" fillId="22" applyFill="true">
      <alignment horizontal="center" vertical="center"/>
    </xf>
    <xf fontId="26790" applyFont="true" borderId="8" applyBorder="true" applyNumberFormat="true" numFmtId="1" fillId="22" applyFill="true">
      <alignment horizontal="center" vertical="center"/>
    </xf>
    <xf fontId="26791" applyFont="true" borderId="8" applyBorder="true" applyNumberFormat="true" numFmtId="167" fillId="22" applyFill="true">
      <alignment horizontal="center" vertical="center"/>
    </xf>
    <xf fontId="26792" applyFont="true" borderId="8" applyBorder="true" applyNumberFormat="true" numFmtId="1" fillId="22" applyFill="true">
      <alignment horizontal="center" vertical="center"/>
    </xf>
    <xf fontId="26793" applyFont="true" borderId="8" applyBorder="true" applyNumberFormat="true" numFmtId="1" fillId="22" applyFill="true">
      <alignment horizontal="center" vertical="center"/>
    </xf>
    <xf fontId="26794" applyFont="true" borderId="8" applyBorder="true" applyNumberFormat="true" numFmtId="1" fillId="22" applyFill="true">
      <alignment horizontal="center" vertical="center"/>
    </xf>
    <xf fontId="26795" applyFont="true" borderId="8" applyBorder="true" applyNumberFormat="true" numFmtId="1" fillId="22" applyFill="true">
      <alignment horizontal="center" vertical="center"/>
    </xf>
    <xf fontId="26796" applyFont="true" borderId="8" applyBorder="true" applyNumberFormat="true" numFmtId="167" fillId="22" applyFill="true">
      <alignment horizontal="center" vertical="center"/>
    </xf>
    <xf fontId="26797" applyFont="true" borderId="8" applyBorder="true" applyNumberFormat="true" numFmtId="1" fillId="22" applyFill="true">
      <alignment horizontal="center" vertical="center"/>
    </xf>
    <xf fontId="26798" applyFont="true" borderId="8" applyBorder="true" applyNumberFormat="true" numFmtId="167" fillId="22" applyFill="true">
      <alignment horizontal="center" vertical="center"/>
    </xf>
    <xf fontId="26799" applyFont="true" borderId="8" applyBorder="true" applyNumberFormat="true" numFmtId="1" fillId="22" applyFill="true">
      <alignment horizontal="center" vertical="center"/>
    </xf>
    <xf fontId="26800" applyFont="true" borderId="8" applyBorder="true" applyNumberFormat="true" numFmtId="167" fillId="22" applyFill="true">
      <alignment horizontal="center" vertical="center"/>
    </xf>
    <xf fontId="26801" applyFont="true" borderId="8" applyBorder="true" applyNumberFormat="true" numFmtId="2" fillId="22" applyFill="true">
      <alignment horizontal="center" vertical="center"/>
    </xf>
    <xf fontId="26802" applyFont="true" borderId="8" applyBorder="true" applyNumberFormat="true" numFmtId="2" fillId="22" applyFill="true">
      <alignment horizontal="center" vertical="center"/>
    </xf>
    <xf fontId="26803" applyFont="true" borderId="8" applyBorder="true" applyNumberFormat="true" numFmtId="2" fillId="22" applyFill="true">
      <alignment horizontal="center" vertical="center"/>
    </xf>
    <xf fontId="26804" applyFont="true" borderId="8" applyBorder="true" applyNumberFormat="true" numFmtId="2" fillId="22" applyFill="true">
      <alignment horizontal="center" vertical="center"/>
    </xf>
    <xf fontId="26805" applyFont="true" borderId="8" applyBorder="true" applyNumberFormat="true" numFmtId="2" fillId="22" applyFill="true">
      <alignment horizontal="center" vertical="center"/>
    </xf>
    <xf fontId="26806" applyFont="true" borderId="8" applyBorder="true" applyNumberFormat="true" numFmtId="2" fillId="22" applyFill="true">
      <alignment horizontal="center" vertical="center"/>
    </xf>
    <xf fontId="26807" applyFont="true" borderId="8" applyBorder="true" applyNumberFormat="true" numFmtId="2" fillId="22" applyFill="true">
      <alignment horizontal="center" vertical="center"/>
    </xf>
    <xf fontId="26808" applyFont="true" borderId="8" applyBorder="true" applyNumberFormat="true" numFmtId="2" fillId="22" applyFill="true">
      <alignment horizontal="center" vertical="center"/>
    </xf>
    <xf fontId="26809" applyFont="true" borderId="8" applyBorder="true" applyNumberFormat="true" numFmtId="2" fillId="22" applyFill="true">
      <alignment horizontal="center" vertical="center"/>
    </xf>
    <xf fontId="26810" applyFont="true" borderId="8" applyBorder="true" applyNumberFormat="true" numFmtId="2" fillId="22" applyFill="true">
      <alignment horizontal="center" vertical="center"/>
    </xf>
    <xf fontId="26811" applyFont="true" borderId="8" applyBorder="true" applyNumberFormat="true" numFmtId="2" fillId="22" applyFill="true">
      <alignment horizontal="center" vertical="center"/>
    </xf>
    <xf fontId="26812" applyFont="true" borderId="8" applyBorder="true" applyNumberFormat="true" numFmtId="2" fillId="22" applyFill="true">
      <alignment horizontal="center" vertical="center"/>
    </xf>
    <xf fontId="26813" applyFont="true" borderId="8" applyBorder="true" applyNumberFormat="true" numFmtId="2" fillId="22" applyFill="true">
      <alignment horizontal="center" vertical="center"/>
    </xf>
    <xf fontId="26814" applyFont="true" borderId="8" applyBorder="true" applyNumberFormat="true" numFmtId="2" fillId="22" applyFill="true">
      <alignment horizontal="center" vertical="center"/>
    </xf>
    <xf fontId="26815" applyFont="true" borderId="8" applyBorder="true" applyNumberFormat="true" numFmtId="2" fillId="22" applyFill="true">
      <alignment horizontal="center" vertical="center"/>
    </xf>
    <xf fontId="26816" applyFont="true" borderId="8" applyBorder="true" applyNumberFormat="true" numFmtId="2" fillId="22" applyFill="true">
      <alignment horizontal="center" vertical="center"/>
    </xf>
    <xf fontId="26817" applyFont="true" borderId="8" applyBorder="true" applyNumberFormat="true" numFmtId="2" fillId="22" applyFill="true">
      <alignment horizontal="center" vertical="center"/>
    </xf>
    <xf fontId="26818" applyFont="true" borderId="8" applyBorder="true" applyNumberFormat="true" numFmtId="2" fillId="22" applyFill="true">
      <alignment horizontal="center" vertical="center"/>
    </xf>
    <xf fontId="26819" applyFont="true" borderId="8" applyBorder="true" applyNumberFormat="true" numFmtId="2" fillId="22" applyFill="true">
      <alignment horizontal="center" vertical="center"/>
    </xf>
    <xf fontId="26820" applyFont="true" borderId="8" applyBorder="true" applyNumberFormat="true" numFmtId="2" fillId="22" applyFill="true">
      <alignment horizontal="center" vertical="center"/>
    </xf>
    <xf fontId="26821" applyFont="true" borderId="8" applyBorder="true" applyNumberFormat="true" numFmtId="2" fillId="22" applyFill="true">
      <alignment horizontal="center" vertical="center"/>
    </xf>
    <xf fontId="26822" applyFont="true" borderId="8" applyBorder="true" applyNumberFormat="true" numFmtId="2" fillId="22" applyFill="true">
      <alignment horizontal="center" vertical="center"/>
    </xf>
    <xf fontId="26823" applyFont="true" borderId="8" applyBorder="true" applyNumberFormat="true" numFmtId="2" fillId="22" applyFill="true">
      <alignment horizontal="center" vertical="center"/>
    </xf>
    <xf fontId="26824" applyFont="true" borderId="8" applyBorder="true" applyNumberFormat="true" numFmtId="2" fillId="22" applyFill="true">
      <alignment horizontal="center" vertical="center"/>
    </xf>
    <xf fontId="26825" applyFont="true" borderId="8" applyBorder="true" applyNumberFormat="true" numFmtId="2" fillId="22" applyFill="true">
      <alignment horizontal="center" vertical="center"/>
    </xf>
    <xf fontId="26826" applyFont="true" borderId="8" applyBorder="true" applyNumberFormat="true" numFmtId="2" fillId="22" applyFill="true">
      <alignment horizontal="center" vertical="center"/>
    </xf>
    <xf fontId="26827" applyFont="true" borderId="8" applyBorder="true" applyNumberFormat="true" numFmtId="2" fillId="22" applyFill="true">
      <alignment horizontal="center" vertical="center"/>
    </xf>
    <xf fontId="26828" applyFont="true" borderId="8" applyBorder="true" applyNumberFormat="true" numFmtId="2" fillId="22" applyFill="true">
      <alignment horizontal="center" vertical="center"/>
    </xf>
    <xf fontId="26829" applyFont="true" borderId="8" applyBorder="true" applyNumberFormat="true" numFmtId="2" fillId="22" applyFill="true">
      <alignment horizontal="center" vertical="center"/>
    </xf>
    <xf fontId="26830" applyFont="true" borderId="8" applyBorder="true" applyNumberFormat="true" numFmtId="2" fillId="22" applyFill="true">
      <alignment horizontal="center" vertical="center"/>
    </xf>
    <xf fontId="26831" applyFont="true" borderId="8" applyBorder="true" applyNumberFormat="true" numFmtId="2" fillId="22" applyFill="true">
      <alignment horizontal="center" vertical="center"/>
    </xf>
    <xf fontId="26832" applyFont="true" borderId="8" applyBorder="true" applyNumberFormat="true" numFmtId="2" fillId="22" applyFill="true">
      <alignment horizontal="center" vertical="center"/>
    </xf>
    <xf fontId="26833" applyFont="true" borderId="8" applyBorder="true" applyNumberFormat="true" numFmtId="2" fillId="22" applyFill="true">
      <alignment horizontal="center" vertical="center"/>
    </xf>
    <xf fontId="26834" applyFont="true" borderId="8" applyBorder="true" applyNumberFormat="true" numFmtId="2" fillId="22" applyFill="true">
      <alignment horizontal="center" vertical="center"/>
    </xf>
    <xf fontId="26835" applyFont="true" borderId="8" applyBorder="true" applyNumberFormat="true" numFmtId="165" fillId="19" applyFill="true">
      <alignment horizontal="left" vertical="center"/>
    </xf>
    <xf fontId="26836" applyFont="true" borderId="8" applyBorder="true" applyNumberFormat="true" numFmtId="165" fillId="22" applyFill="true">
      <alignment horizontal="center" vertical="center"/>
    </xf>
    <xf fontId="26837" applyFont="true" borderId="8" applyBorder="true" applyNumberFormat="true" numFmtId="166" fillId="22" applyFill="true">
      <alignment horizontal="center" vertical="center"/>
    </xf>
    <xf fontId="26838" applyFont="true" borderId="8" applyBorder="true" applyNumberFormat="true" numFmtId="1" fillId="22" applyFill="true">
      <alignment horizontal="center" vertical="center"/>
    </xf>
    <xf fontId="26839" applyFont="true" borderId="8" applyBorder="true" applyNumberFormat="true" numFmtId="1" fillId="22" applyFill="true">
      <alignment horizontal="center" vertical="center"/>
    </xf>
    <xf fontId="26840" applyFont="true" borderId="8" applyBorder="true" applyNumberFormat="true" numFmtId="1" fillId="22" applyFill="true">
      <alignment horizontal="center" vertical="center"/>
    </xf>
    <xf fontId="26841" applyFont="true" borderId="8" applyBorder="true" applyNumberFormat="true" numFmtId="1" fillId="22" applyFill="true">
      <alignment horizontal="center" vertical="center"/>
    </xf>
    <xf fontId="26842" applyFont="true" borderId="8" applyBorder="true" applyNumberFormat="true" numFmtId="1" fillId="22" applyFill="true">
      <alignment horizontal="center" vertical="center"/>
    </xf>
    <xf fontId="26843" applyFont="true" borderId="8" applyBorder="true" applyNumberFormat="true" numFmtId="1" fillId="22" applyFill="true">
      <alignment horizontal="center" vertical="center"/>
    </xf>
    <xf fontId="26844" applyFont="true" borderId="8" applyBorder="true" applyNumberFormat="true" numFmtId="1" fillId="22" applyFill="true">
      <alignment horizontal="center" vertical="center"/>
    </xf>
    <xf fontId="26845" applyFont="true" borderId="8" applyBorder="true" applyNumberFormat="true" numFmtId="165" fillId="22" applyFill="true">
      <alignment horizontal="center" vertical="center"/>
    </xf>
    <xf fontId="26846" applyFont="true" borderId="8" applyBorder="true" applyNumberFormat="true" numFmtId="165" fillId="22" applyFill="true">
      <alignment horizontal="center" vertical="center"/>
    </xf>
    <xf fontId="26847" applyFont="true" borderId="8" applyBorder="true" applyNumberFormat="true" numFmtId="1" fillId="22" applyFill="true">
      <alignment horizontal="center" vertical="center"/>
    </xf>
    <xf fontId="26848" applyFont="true" borderId="8" applyBorder="true" applyNumberFormat="true" numFmtId="1" fillId="22" applyFill="true">
      <alignment horizontal="center" vertical="center"/>
    </xf>
    <xf fontId="26849" applyFont="true" borderId="8" applyBorder="true" applyNumberFormat="true" numFmtId="1" fillId="22" applyFill="true">
      <alignment horizontal="center" vertical="center"/>
    </xf>
    <xf fontId="26850" applyFont="true" borderId="8" applyBorder="true" applyNumberFormat="true" numFmtId="167" fillId="22" applyFill="true">
      <alignment horizontal="center" vertical="center"/>
    </xf>
    <xf fontId="26851" applyFont="true" borderId="8" applyBorder="true" applyNumberFormat="true" numFmtId="1" fillId="22" applyFill="true">
      <alignment horizontal="center" vertical="center"/>
    </xf>
    <xf fontId="26852" applyFont="true" borderId="8" applyBorder="true" applyNumberFormat="true" numFmtId="167" fillId="22" applyFill="true">
      <alignment horizontal="center" vertical="center"/>
    </xf>
    <xf fontId="26853" applyFont="true" borderId="8" applyBorder="true" applyNumberFormat="true" numFmtId="1" fillId="22" applyFill="true">
      <alignment horizontal="center" vertical="center"/>
    </xf>
    <xf fontId="26854" applyFont="true" borderId="8" applyBorder="true" applyNumberFormat="true" numFmtId="167" fillId="22" applyFill="true">
      <alignment horizontal="center" vertical="center"/>
    </xf>
    <xf fontId="26855" applyFont="true" borderId="8" applyBorder="true" applyNumberFormat="true" numFmtId="1" fillId="22" applyFill="true">
      <alignment horizontal="center" vertical="center"/>
    </xf>
    <xf fontId="26856" applyFont="true" borderId="8" applyBorder="true" applyNumberFormat="true" numFmtId="167" fillId="22" applyFill="true">
      <alignment horizontal="center" vertical="center"/>
    </xf>
    <xf fontId="26857" applyFont="true" borderId="8" applyBorder="true" applyNumberFormat="true" numFmtId="167" fillId="22" applyFill="true">
      <alignment horizontal="center" vertical="center"/>
    </xf>
    <xf fontId="26858" applyFont="true" borderId="8" applyBorder="true" applyNumberFormat="true" numFmtId="1" fillId="22" applyFill="true">
      <alignment horizontal="center" vertical="center"/>
    </xf>
    <xf fontId="26859" applyFont="true" borderId="8" applyBorder="true" applyNumberFormat="true" numFmtId="1" fillId="22" applyFill="true">
      <alignment horizontal="center" vertical="center"/>
    </xf>
    <xf fontId="26860" applyFont="true" borderId="8" applyBorder="true" applyNumberFormat="true" numFmtId="1" fillId="22" applyFill="true">
      <alignment horizontal="center" vertical="center"/>
    </xf>
    <xf fontId="26861" applyFont="true" borderId="8" applyBorder="true" applyNumberFormat="true" numFmtId="167" fillId="22" applyFill="true">
      <alignment horizontal="center" vertical="center"/>
    </xf>
    <xf fontId="26862" applyFont="true" borderId="8" applyBorder="true" applyNumberFormat="true" numFmtId="166" fillId="22" applyFill="true">
      <alignment horizontal="center" vertical="center"/>
    </xf>
    <xf fontId="26863" applyFont="true" borderId="8" applyBorder="true" applyNumberFormat="true" numFmtId="166" fillId="22" applyFill="true">
      <alignment horizontal="center" vertical="center"/>
    </xf>
    <xf fontId="26864" applyFont="true" borderId="8" applyBorder="true" applyNumberFormat="true" numFmtId="1" fillId="22" applyFill="true">
      <alignment horizontal="center" vertical="center"/>
    </xf>
    <xf fontId="26865" applyFont="true" borderId="8" applyBorder="true" applyNumberFormat="true" numFmtId="1" fillId="22" applyFill="true">
      <alignment horizontal="center" vertical="center"/>
    </xf>
    <xf fontId="26866" applyFont="true" borderId="8" applyBorder="true" applyNumberFormat="true" numFmtId="1" fillId="22" applyFill="true">
      <alignment horizontal="center" vertical="center"/>
    </xf>
    <xf fontId="26867" applyFont="true" borderId="8" applyBorder="true" applyNumberFormat="true" numFmtId="167" fillId="22" applyFill="true">
      <alignment horizontal="center" vertical="center"/>
    </xf>
    <xf fontId="26868" applyFont="true" borderId="8" applyBorder="true" applyNumberFormat="true" numFmtId="1" fillId="22" applyFill="true">
      <alignment horizontal="center" vertical="center"/>
    </xf>
    <xf fontId="26869" applyFont="true" borderId="8" applyBorder="true" applyNumberFormat="true" numFmtId="167" fillId="22" applyFill="true">
      <alignment horizontal="center" vertical="center"/>
    </xf>
    <xf fontId="26870" applyFont="true" borderId="8" applyBorder="true" applyNumberFormat="true" numFmtId="1" fillId="22" applyFill="true">
      <alignment horizontal="center" vertical="center"/>
    </xf>
    <xf fontId="26871" applyFont="true" borderId="8" applyBorder="true" applyNumberFormat="true" numFmtId="1" fillId="22" applyFill="true">
      <alignment horizontal="center" vertical="center"/>
    </xf>
    <xf fontId="26872" applyFont="true" borderId="8" applyBorder="true" applyNumberFormat="true" numFmtId="1" fillId="22" applyFill="true">
      <alignment horizontal="center" vertical="center"/>
    </xf>
    <xf fontId="26873" applyFont="true" borderId="8" applyBorder="true" applyNumberFormat="true" numFmtId="1" fillId="22" applyFill="true">
      <alignment horizontal="center" vertical="center"/>
    </xf>
    <xf fontId="26874" applyFont="true" borderId="8" applyBorder="true" applyNumberFormat="true" numFmtId="167" fillId="22" applyFill="true">
      <alignment horizontal="center" vertical="center"/>
    </xf>
    <xf fontId="26875" applyFont="true" borderId="8" applyBorder="true" applyNumberFormat="true" numFmtId="1" fillId="22" applyFill="true">
      <alignment horizontal="center" vertical="center"/>
    </xf>
    <xf fontId="26876" applyFont="true" borderId="8" applyBorder="true" applyNumberFormat="true" numFmtId="167" fillId="22" applyFill="true">
      <alignment horizontal="center" vertical="center"/>
    </xf>
    <xf fontId="26877" applyFont="true" borderId="8" applyBorder="true" applyNumberFormat="true" numFmtId="1" fillId="22" applyFill="true">
      <alignment horizontal="center" vertical="center"/>
    </xf>
    <xf fontId="26878" applyFont="true" borderId="8" applyBorder="true" applyNumberFormat="true" numFmtId="167" fillId="22" applyFill="true">
      <alignment horizontal="center" vertical="center"/>
    </xf>
    <xf fontId="26879" applyFont="true" borderId="8" applyBorder="true" applyNumberFormat="true" numFmtId="2" fillId="22" applyFill="true">
      <alignment horizontal="center" vertical="center"/>
    </xf>
    <xf fontId="26880" applyFont="true" borderId="8" applyBorder="true" applyNumberFormat="true" numFmtId="2" fillId="22" applyFill="true">
      <alignment horizontal="center" vertical="center"/>
    </xf>
    <xf fontId="26881" applyFont="true" borderId="8" applyBorder="true" applyNumberFormat="true" numFmtId="2" fillId="22" applyFill="true">
      <alignment horizontal="center" vertical="center"/>
    </xf>
    <xf fontId="26882" applyFont="true" borderId="8" applyBorder="true" applyNumberFormat="true" numFmtId="2" fillId="22" applyFill="true">
      <alignment horizontal="center" vertical="center"/>
    </xf>
    <xf fontId="26883" applyFont="true" borderId="8" applyBorder="true" applyNumberFormat="true" numFmtId="2" fillId="22" applyFill="true">
      <alignment horizontal="center" vertical="center"/>
    </xf>
    <xf fontId="26884" applyFont="true" borderId="8" applyBorder="true" applyNumberFormat="true" numFmtId="2" fillId="22" applyFill="true">
      <alignment horizontal="center" vertical="center"/>
    </xf>
    <xf fontId="26885" applyFont="true" borderId="8" applyBorder="true" applyNumberFormat="true" numFmtId="2" fillId="22" applyFill="true">
      <alignment horizontal="center" vertical="center"/>
    </xf>
    <xf fontId="26886" applyFont="true" borderId="8" applyBorder="true" applyNumberFormat="true" numFmtId="2" fillId="22" applyFill="true">
      <alignment horizontal="center" vertical="center"/>
    </xf>
    <xf fontId="26887" applyFont="true" borderId="8" applyBorder="true" applyNumberFormat="true" numFmtId="2" fillId="22" applyFill="true">
      <alignment horizontal="center" vertical="center"/>
    </xf>
    <xf fontId="26888" applyFont="true" borderId="8" applyBorder="true" applyNumberFormat="true" numFmtId="2" fillId="22" applyFill="true">
      <alignment horizontal="center" vertical="center"/>
    </xf>
    <xf fontId="26889" applyFont="true" borderId="8" applyBorder="true" applyNumberFormat="true" numFmtId="2" fillId="22" applyFill="true">
      <alignment horizontal="center" vertical="center"/>
    </xf>
    <xf fontId="26890" applyFont="true" borderId="8" applyBorder="true" applyNumberFormat="true" numFmtId="2" fillId="22" applyFill="true">
      <alignment horizontal="center" vertical="center"/>
    </xf>
    <xf fontId="26891" applyFont="true" borderId="8" applyBorder="true" applyNumberFormat="true" numFmtId="2" fillId="22" applyFill="true">
      <alignment horizontal="center" vertical="center"/>
    </xf>
    <xf fontId="26892" applyFont="true" borderId="8" applyBorder="true" applyNumberFormat="true" numFmtId="2" fillId="22" applyFill="true">
      <alignment horizontal="center" vertical="center"/>
    </xf>
    <xf fontId="26893" applyFont="true" borderId="8" applyBorder="true" applyNumberFormat="true" numFmtId="2" fillId="22" applyFill="true">
      <alignment horizontal="center" vertical="center"/>
    </xf>
    <xf fontId="26894" applyFont="true" borderId="8" applyBorder="true" applyNumberFormat="true" numFmtId="2" fillId="22" applyFill="true">
      <alignment horizontal="center" vertical="center"/>
    </xf>
    <xf fontId="26895" applyFont="true" borderId="8" applyBorder="true" applyNumberFormat="true" numFmtId="2" fillId="22" applyFill="true">
      <alignment horizontal="center" vertical="center"/>
    </xf>
    <xf fontId="26896" applyFont="true" borderId="8" applyBorder="true" applyNumberFormat="true" numFmtId="2" fillId="22" applyFill="true">
      <alignment horizontal="center" vertical="center"/>
    </xf>
    <xf fontId="26897" applyFont="true" borderId="8" applyBorder="true" applyNumberFormat="true" numFmtId="2" fillId="22" applyFill="true">
      <alignment horizontal="center" vertical="center"/>
    </xf>
    <xf fontId="26898" applyFont="true" borderId="8" applyBorder="true" applyNumberFormat="true" numFmtId="2" fillId="22" applyFill="true">
      <alignment horizontal="center" vertical="center"/>
    </xf>
    <xf fontId="26899" applyFont="true" borderId="8" applyBorder="true" applyNumberFormat="true" numFmtId="2" fillId="22" applyFill="true">
      <alignment horizontal="center" vertical="center"/>
    </xf>
    <xf fontId="26900" applyFont="true" borderId="8" applyBorder="true" applyNumberFormat="true" numFmtId="2" fillId="22" applyFill="true">
      <alignment horizontal="center" vertical="center"/>
    </xf>
    <xf fontId="26901" applyFont="true" borderId="8" applyBorder="true" applyNumberFormat="true" numFmtId="2" fillId="22" applyFill="true">
      <alignment horizontal="center" vertical="center"/>
    </xf>
    <xf fontId="26902" applyFont="true" borderId="8" applyBorder="true" applyNumberFormat="true" numFmtId="2" fillId="22" applyFill="true">
      <alignment horizontal="center" vertical="center"/>
    </xf>
    <xf fontId="26903" applyFont="true" borderId="8" applyBorder="true" applyNumberFormat="true" numFmtId="2" fillId="22" applyFill="true">
      <alignment horizontal="center" vertical="center"/>
    </xf>
    <xf fontId="26904" applyFont="true" borderId="8" applyBorder="true" applyNumberFormat="true" numFmtId="2" fillId="22" applyFill="true">
      <alignment horizontal="center" vertical="center"/>
    </xf>
    <xf fontId="26905" applyFont="true" borderId="8" applyBorder="true" applyNumberFormat="true" numFmtId="2" fillId="22" applyFill="true">
      <alignment horizontal="center" vertical="center"/>
    </xf>
    <xf fontId="26906" applyFont="true" borderId="8" applyBorder="true" applyNumberFormat="true" numFmtId="2" fillId="22" applyFill="true">
      <alignment horizontal="center" vertical="center"/>
    </xf>
    <xf fontId="26907" applyFont="true" borderId="8" applyBorder="true" applyNumberFormat="true" numFmtId="2" fillId="22" applyFill="true">
      <alignment horizontal="center" vertical="center"/>
    </xf>
    <xf fontId="26908" applyFont="true" borderId="8" applyBorder="true" applyNumberFormat="true" numFmtId="2" fillId="22" applyFill="true">
      <alignment horizontal="center" vertical="center"/>
    </xf>
    <xf fontId="26909" applyFont="true" borderId="8" applyBorder="true" applyNumberFormat="true" numFmtId="2" fillId="22" applyFill="true">
      <alignment horizontal="center" vertical="center"/>
    </xf>
    <xf fontId="26910" applyFont="true" borderId="8" applyBorder="true" applyNumberFormat="true" numFmtId="2" fillId="22" applyFill="true">
      <alignment horizontal="center" vertical="center"/>
    </xf>
    <xf fontId="26911" applyFont="true" borderId="8" applyBorder="true" applyNumberFormat="true" numFmtId="2" fillId="22" applyFill="true">
      <alignment horizontal="center" vertical="center"/>
    </xf>
    <xf fontId="26912" applyFont="true" borderId="8" applyBorder="true" applyNumberFormat="true" numFmtId="2" fillId="22" applyFill="true">
      <alignment horizontal="center" vertical="center"/>
    </xf>
    <xf fontId="26913" applyFont="true" borderId="8" applyBorder="true" applyNumberFormat="true" numFmtId="165" fillId="19" applyFill="true">
      <alignment horizontal="left" vertical="center"/>
    </xf>
    <xf fontId="26914" applyFont="true" borderId="8" applyBorder="true" applyNumberFormat="true" numFmtId="165" fillId="22" applyFill="true">
      <alignment horizontal="center" vertical="center"/>
    </xf>
    <xf fontId="26915" applyFont="true" borderId="8" applyBorder="true" applyNumberFormat="true" numFmtId="166" fillId="22" applyFill="true">
      <alignment horizontal="center" vertical="center"/>
    </xf>
    <xf fontId="26916" applyFont="true" borderId="8" applyBorder="true" applyNumberFormat="true" numFmtId="1" fillId="22" applyFill="true">
      <alignment horizontal="center" vertical="center"/>
    </xf>
    <xf fontId="26917" applyFont="true" borderId="8" applyBorder="true" applyNumberFormat="true" numFmtId="1" fillId="22" applyFill="true">
      <alignment horizontal="center" vertical="center"/>
    </xf>
    <xf fontId="26918" applyFont="true" borderId="8" applyBorder="true" applyNumberFormat="true" numFmtId="1" fillId="22" applyFill="true">
      <alignment horizontal="center" vertical="center"/>
    </xf>
    <xf fontId="26919" applyFont="true" borderId="8" applyBorder="true" applyNumberFormat="true" numFmtId="1" fillId="22" applyFill="true">
      <alignment horizontal="center" vertical="center"/>
    </xf>
    <xf fontId="26920" applyFont="true" borderId="8" applyBorder="true" applyNumberFormat="true" numFmtId="1" fillId="22" applyFill="true">
      <alignment horizontal="center" vertical="center"/>
    </xf>
    <xf fontId="26921" applyFont="true" borderId="8" applyBorder="true" applyNumberFormat="true" numFmtId="1" fillId="22" applyFill="true">
      <alignment horizontal="center" vertical="center"/>
    </xf>
    <xf fontId="26922" applyFont="true" borderId="8" applyBorder="true" applyNumberFormat="true" numFmtId="1" fillId="22" applyFill="true">
      <alignment horizontal="center" vertical="center"/>
    </xf>
    <xf fontId="26923" applyFont="true" borderId="8" applyBorder="true" applyNumberFormat="true" numFmtId="165" fillId="22" applyFill="true">
      <alignment horizontal="center" vertical="center"/>
    </xf>
    <xf fontId="26924" applyFont="true" borderId="8" applyBorder="true" applyNumberFormat="true" numFmtId="165" fillId="22" applyFill="true">
      <alignment horizontal="center" vertical="center"/>
    </xf>
    <xf fontId="26925" applyFont="true" borderId="8" applyBorder="true" applyNumberFormat="true" numFmtId="1" fillId="22" applyFill="true">
      <alignment horizontal="center" vertical="center"/>
    </xf>
    <xf fontId="26926" applyFont="true" borderId="8" applyBorder="true" applyNumberFormat="true" numFmtId="1" fillId="22" applyFill="true">
      <alignment horizontal="center" vertical="center"/>
    </xf>
    <xf fontId="26927" applyFont="true" borderId="8" applyBorder="true" applyNumberFormat="true" numFmtId="1" fillId="22" applyFill="true">
      <alignment horizontal="center" vertical="center"/>
    </xf>
    <xf fontId="26928" applyFont="true" borderId="8" applyBorder="true" applyNumberFormat="true" numFmtId="167" fillId="22" applyFill="true">
      <alignment horizontal="center" vertical="center"/>
    </xf>
    <xf fontId="26929" applyFont="true" borderId="8" applyBorder="true" applyNumberFormat="true" numFmtId="1" fillId="22" applyFill="true">
      <alignment horizontal="center" vertical="center"/>
    </xf>
    <xf fontId="26930" applyFont="true" borderId="8" applyBorder="true" applyNumberFormat="true" numFmtId="167" fillId="22" applyFill="true">
      <alignment horizontal="center" vertical="center"/>
    </xf>
    <xf fontId="26931" applyFont="true" borderId="8" applyBorder="true" applyNumberFormat="true" numFmtId="1" fillId="22" applyFill="true">
      <alignment horizontal="center" vertical="center"/>
    </xf>
    <xf fontId="26932" applyFont="true" borderId="8" applyBorder="true" applyNumberFormat="true" numFmtId="167" fillId="22" applyFill="true">
      <alignment horizontal="center" vertical="center"/>
    </xf>
    <xf fontId="26933" applyFont="true" borderId="8" applyBorder="true" applyNumberFormat="true" numFmtId="1" fillId="22" applyFill="true">
      <alignment horizontal="center" vertical="center"/>
    </xf>
    <xf fontId="26934" applyFont="true" borderId="8" applyBorder="true" applyNumberFormat="true" numFmtId="167" fillId="22" applyFill="true">
      <alignment horizontal="center" vertical="center"/>
    </xf>
    <xf fontId="26935" applyFont="true" borderId="8" applyBorder="true" applyNumberFormat="true" numFmtId="167" fillId="22" applyFill="true">
      <alignment horizontal="center" vertical="center"/>
    </xf>
    <xf fontId="26936" applyFont="true" borderId="8" applyBorder="true" applyNumberFormat="true" numFmtId="1" fillId="22" applyFill="true">
      <alignment horizontal="center" vertical="center"/>
    </xf>
    <xf fontId="26937" applyFont="true" borderId="8" applyBorder="true" applyNumberFormat="true" numFmtId="1" fillId="22" applyFill="true">
      <alignment horizontal="center" vertical="center"/>
    </xf>
    <xf fontId="26938" applyFont="true" borderId="8" applyBorder="true" applyNumberFormat="true" numFmtId="1" fillId="22" applyFill="true">
      <alignment horizontal="center" vertical="center"/>
    </xf>
    <xf fontId="26939" applyFont="true" borderId="8" applyBorder="true" applyNumberFormat="true" numFmtId="167" fillId="22" applyFill="true">
      <alignment horizontal="center" vertical="center"/>
    </xf>
    <xf fontId="26940" applyFont="true" borderId="8" applyBorder="true" applyNumberFormat="true" numFmtId="166" fillId="22" applyFill="true">
      <alignment horizontal="center" vertical="center"/>
    </xf>
    <xf fontId="26941" applyFont="true" borderId="8" applyBorder="true" applyNumberFormat="true" numFmtId="166" fillId="22" applyFill="true">
      <alignment horizontal="center" vertical="center"/>
    </xf>
    <xf fontId="26942" applyFont="true" borderId="8" applyBorder="true" applyNumberFormat="true" numFmtId="1" fillId="22" applyFill="true">
      <alignment horizontal="center" vertical="center"/>
    </xf>
    <xf fontId="26943" applyFont="true" borderId="8" applyBorder="true" applyNumberFormat="true" numFmtId="1" fillId="22" applyFill="true">
      <alignment horizontal="center" vertical="center"/>
    </xf>
    <xf fontId="26944" applyFont="true" borderId="8" applyBorder="true" applyNumberFormat="true" numFmtId="1" fillId="22" applyFill="true">
      <alignment horizontal="center" vertical="center"/>
    </xf>
    <xf fontId="26945" applyFont="true" borderId="8" applyBorder="true" applyNumberFormat="true" numFmtId="167" fillId="22" applyFill="true">
      <alignment horizontal="center" vertical="center"/>
    </xf>
    <xf fontId="26946" applyFont="true" borderId="8" applyBorder="true" applyNumberFormat="true" numFmtId="1" fillId="22" applyFill="true">
      <alignment horizontal="center" vertical="center"/>
    </xf>
    <xf fontId="26947" applyFont="true" borderId="8" applyBorder="true" applyNumberFormat="true" numFmtId="167" fillId="22" applyFill="true">
      <alignment horizontal="center" vertical="center"/>
    </xf>
    <xf fontId="26948" applyFont="true" borderId="8" applyBorder="true" applyNumberFormat="true" numFmtId="1" fillId="22" applyFill="true">
      <alignment horizontal="center" vertical="center"/>
    </xf>
    <xf fontId="26949" applyFont="true" borderId="8" applyBorder="true" applyNumberFormat="true" numFmtId="1" fillId="22" applyFill="true">
      <alignment horizontal="center" vertical="center"/>
    </xf>
    <xf fontId="26950" applyFont="true" borderId="8" applyBorder="true" applyNumberFormat="true" numFmtId="1" fillId="22" applyFill="true">
      <alignment horizontal="center" vertical="center"/>
    </xf>
    <xf fontId="26951" applyFont="true" borderId="8" applyBorder="true" applyNumberFormat="true" numFmtId="1" fillId="22" applyFill="true">
      <alignment horizontal="center" vertical="center"/>
    </xf>
    <xf fontId="26952" applyFont="true" borderId="8" applyBorder="true" applyNumberFormat="true" numFmtId="167" fillId="22" applyFill="true">
      <alignment horizontal="center" vertical="center"/>
    </xf>
    <xf fontId="26953" applyFont="true" borderId="8" applyBorder="true" applyNumberFormat="true" numFmtId="1" fillId="22" applyFill="true">
      <alignment horizontal="center" vertical="center"/>
    </xf>
    <xf fontId="26954" applyFont="true" borderId="8" applyBorder="true" applyNumberFormat="true" numFmtId="167" fillId="22" applyFill="true">
      <alignment horizontal="center" vertical="center"/>
    </xf>
    <xf fontId="26955" applyFont="true" borderId="8" applyBorder="true" applyNumberFormat="true" numFmtId="1" fillId="22" applyFill="true">
      <alignment horizontal="center" vertical="center"/>
    </xf>
    <xf fontId="26956" applyFont="true" borderId="8" applyBorder="true" applyNumberFormat="true" numFmtId="167" fillId="22" applyFill="true">
      <alignment horizontal="center" vertical="center"/>
    </xf>
    <xf fontId="26957" applyFont="true" borderId="8" applyBorder="true" applyNumberFormat="true" numFmtId="2" fillId="22" applyFill="true">
      <alignment horizontal="center" vertical="center"/>
    </xf>
    <xf fontId="26958" applyFont="true" borderId="8" applyBorder="true" applyNumberFormat="true" numFmtId="2" fillId="22" applyFill="true">
      <alignment horizontal="center" vertical="center"/>
    </xf>
    <xf fontId="26959" applyFont="true" borderId="8" applyBorder="true" applyNumberFormat="true" numFmtId="2" fillId="22" applyFill="true">
      <alignment horizontal="center" vertical="center"/>
    </xf>
    <xf fontId="26960" applyFont="true" borderId="8" applyBorder="true" applyNumberFormat="true" numFmtId="2" fillId="22" applyFill="true">
      <alignment horizontal="center" vertical="center"/>
    </xf>
    <xf fontId="26961" applyFont="true" borderId="8" applyBorder="true" applyNumberFormat="true" numFmtId="2" fillId="22" applyFill="true">
      <alignment horizontal="center" vertical="center"/>
    </xf>
    <xf fontId="26962" applyFont="true" borderId="8" applyBorder="true" applyNumberFormat="true" numFmtId="2" fillId="22" applyFill="true">
      <alignment horizontal="center" vertical="center"/>
    </xf>
    <xf fontId="26963" applyFont="true" borderId="8" applyBorder="true" applyNumberFormat="true" numFmtId="2" fillId="22" applyFill="true">
      <alignment horizontal="center" vertical="center"/>
    </xf>
    <xf fontId="26964" applyFont="true" borderId="8" applyBorder="true" applyNumberFormat="true" numFmtId="2" fillId="22" applyFill="true">
      <alignment horizontal="center" vertical="center"/>
    </xf>
    <xf fontId="26965" applyFont="true" borderId="8" applyBorder="true" applyNumberFormat="true" numFmtId="2" fillId="22" applyFill="true">
      <alignment horizontal="center" vertical="center"/>
    </xf>
    <xf fontId="26966" applyFont="true" borderId="8" applyBorder="true" applyNumberFormat="true" numFmtId="2" fillId="22" applyFill="true">
      <alignment horizontal="center" vertical="center"/>
    </xf>
    <xf fontId="26967" applyFont="true" borderId="8" applyBorder="true" applyNumberFormat="true" numFmtId="2" fillId="22" applyFill="true">
      <alignment horizontal="center" vertical="center"/>
    </xf>
    <xf fontId="26968" applyFont="true" borderId="8" applyBorder="true" applyNumberFormat="true" numFmtId="2" fillId="22" applyFill="true">
      <alignment horizontal="center" vertical="center"/>
    </xf>
    <xf fontId="26969" applyFont="true" borderId="8" applyBorder="true" applyNumberFormat="true" numFmtId="2" fillId="22" applyFill="true">
      <alignment horizontal="center" vertical="center"/>
    </xf>
    <xf fontId="26970" applyFont="true" borderId="8" applyBorder="true" applyNumberFormat="true" numFmtId="2" fillId="22" applyFill="true">
      <alignment horizontal="center" vertical="center"/>
    </xf>
    <xf fontId="26971" applyFont="true" borderId="8" applyBorder="true" applyNumberFormat="true" numFmtId="2" fillId="22" applyFill="true">
      <alignment horizontal="center" vertical="center"/>
    </xf>
    <xf fontId="26972" applyFont="true" borderId="8" applyBorder="true" applyNumberFormat="true" numFmtId="2" fillId="22" applyFill="true">
      <alignment horizontal="center" vertical="center"/>
    </xf>
    <xf fontId="26973" applyFont="true" borderId="8" applyBorder="true" applyNumberFormat="true" numFmtId="2" fillId="22" applyFill="true">
      <alignment horizontal="center" vertical="center"/>
    </xf>
    <xf fontId="26974" applyFont="true" borderId="8" applyBorder="true" applyNumberFormat="true" numFmtId="2" fillId="22" applyFill="true">
      <alignment horizontal="center" vertical="center"/>
    </xf>
    <xf fontId="26975" applyFont="true" borderId="8" applyBorder="true" applyNumberFormat="true" numFmtId="2" fillId="22" applyFill="true">
      <alignment horizontal="center" vertical="center"/>
    </xf>
    <xf fontId="26976" applyFont="true" borderId="8" applyBorder="true" applyNumberFormat="true" numFmtId="2" fillId="22" applyFill="true">
      <alignment horizontal="center" vertical="center"/>
    </xf>
    <xf fontId="26977" applyFont="true" borderId="8" applyBorder="true" applyNumberFormat="true" numFmtId="2" fillId="22" applyFill="true">
      <alignment horizontal="center" vertical="center"/>
    </xf>
    <xf fontId="26978" applyFont="true" borderId="8" applyBorder="true" applyNumberFormat="true" numFmtId="2" fillId="22" applyFill="true">
      <alignment horizontal="center" vertical="center"/>
    </xf>
    <xf fontId="26979" applyFont="true" borderId="8" applyBorder="true" applyNumberFormat="true" numFmtId="2" fillId="22" applyFill="true">
      <alignment horizontal="center" vertical="center"/>
    </xf>
    <xf fontId="26980" applyFont="true" borderId="8" applyBorder="true" applyNumberFormat="true" numFmtId="2" fillId="22" applyFill="true">
      <alignment horizontal="center" vertical="center"/>
    </xf>
    <xf fontId="26981" applyFont="true" borderId="8" applyBorder="true" applyNumberFormat="true" numFmtId="2" fillId="22" applyFill="true">
      <alignment horizontal="center" vertical="center"/>
    </xf>
    <xf fontId="26982" applyFont="true" borderId="8" applyBorder="true" applyNumberFormat="true" numFmtId="2" fillId="22" applyFill="true">
      <alignment horizontal="center" vertical="center"/>
    </xf>
    <xf fontId="26983" applyFont="true" borderId="8" applyBorder="true" applyNumberFormat="true" numFmtId="2" fillId="22" applyFill="true">
      <alignment horizontal="center" vertical="center"/>
    </xf>
    <xf fontId="26984" applyFont="true" borderId="8" applyBorder="true" applyNumberFormat="true" numFmtId="2" fillId="22" applyFill="true">
      <alignment horizontal="center" vertical="center"/>
    </xf>
    <xf fontId="26985" applyFont="true" borderId="8" applyBorder="true" applyNumberFormat="true" numFmtId="2" fillId="22" applyFill="true">
      <alignment horizontal="center" vertical="center"/>
    </xf>
    <xf fontId="26986" applyFont="true" borderId="8" applyBorder="true" applyNumberFormat="true" numFmtId="2" fillId="22" applyFill="true">
      <alignment horizontal="center" vertical="center"/>
    </xf>
    <xf fontId="26987" applyFont="true" borderId="8" applyBorder="true" applyNumberFormat="true" numFmtId="2" fillId="22" applyFill="true">
      <alignment horizontal="center" vertical="center"/>
    </xf>
    <xf fontId="26988" applyFont="true" borderId="8" applyBorder="true" applyNumberFormat="true" numFmtId="2" fillId="22" applyFill="true">
      <alignment horizontal="center" vertical="center"/>
    </xf>
    <xf fontId="26989" applyFont="true" borderId="8" applyBorder="true" applyNumberFormat="true" numFmtId="2" fillId="22" applyFill="true">
      <alignment horizontal="center" vertical="center"/>
    </xf>
    <xf fontId="26990" applyFont="true" borderId="8" applyBorder="true" applyNumberFormat="true" numFmtId="2" fillId="22" applyFill="true">
      <alignment horizontal="center" vertical="center"/>
    </xf>
    <xf fontId="26991" applyFont="true" borderId="8" applyBorder="true" applyNumberFormat="true" numFmtId="165" fillId="19" applyFill="true">
      <alignment horizontal="left" vertical="center"/>
    </xf>
    <xf fontId="26992" applyFont="true" borderId="8" applyBorder="true" applyNumberFormat="true" numFmtId="165" fillId="22" applyFill="true">
      <alignment horizontal="center" vertical="center"/>
    </xf>
    <xf fontId="26993" applyFont="true" borderId="8" applyBorder="true" applyNumberFormat="true" numFmtId="166" fillId="22" applyFill="true">
      <alignment horizontal="center" vertical="center"/>
    </xf>
    <xf fontId="26994" applyFont="true" borderId="8" applyBorder="true" applyNumberFormat="true" numFmtId="1" fillId="22" applyFill="true">
      <alignment horizontal="center" vertical="center"/>
    </xf>
    <xf fontId="26995" applyFont="true" borderId="8" applyBorder="true" applyNumberFormat="true" numFmtId="1" fillId="22" applyFill="true">
      <alignment horizontal="center" vertical="center"/>
    </xf>
    <xf fontId="26996" applyFont="true" borderId="8" applyBorder="true" applyNumberFormat="true" numFmtId="1" fillId="22" applyFill="true">
      <alignment horizontal="center" vertical="center"/>
    </xf>
    <xf fontId="26997" applyFont="true" borderId="8" applyBorder="true" applyNumberFormat="true" numFmtId="1" fillId="22" applyFill="true">
      <alignment horizontal="center" vertical="center"/>
    </xf>
    <xf fontId="26998" applyFont="true" borderId="8" applyBorder="true" applyNumberFormat="true" numFmtId="1" fillId="22" applyFill="true">
      <alignment horizontal="center" vertical="center"/>
    </xf>
    <xf fontId="26999" applyFont="true" borderId="8" applyBorder="true" applyNumberFormat="true" numFmtId="1" fillId="22" applyFill="true">
      <alignment horizontal="center" vertical="center"/>
    </xf>
    <xf fontId="27000" applyFont="true" borderId="8" applyBorder="true" applyNumberFormat="true" numFmtId="1" fillId="22" applyFill="true">
      <alignment horizontal="center" vertical="center"/>
    </xf>
    <xf fontId="27001" applyFont="true" borderId="8" applyBorder="true" applyNumberFormat="true" numFmtId="165" fillId="22" applyFill="true">
      <alignment horizontal="center" vertical="center"/>
    </xf>
    <xf fontId="27002" applyFont="true" borderId="8" applyBorder="true" applyNumberFormat="true" numFmtId="165" fillId="22" applyFill="true">
      <alignment horizontal="center" vertical="center"/>
    </xf>
    <xf fontId="27003" applyFont="true" borderId="8" applyBorder="true" applyNumberFormat="true" numFmtId="1" fillId="22" applyFill="true">
      <alignment horizontal="center" vertical="center"/>
    </xf>
    <xf fontId="27004" applyFont="true" borderId="8" applyBorder="true" applyNumberFormat="true" numFmtId="1" fillId="22" applyFill="true">
      <alignment horizontal="center" vertical="center"/>
    </xf>
    <xf fontId="27005" applyFont="true" borderId="8" applyBorder="true" applyNumberFormat="true" numFmtId="1" fillId="22" applyFill="true">
      <alignment horizontal="center" vertical="center"/>
    </xf>
    <xf fontId="27006" applyFont="true" borderId="8" applyBorder="true" applyNumberFormat="true" numFmtId="167" fillId="22" applyFill="true">
      <alignment horizontal="center" vertical="center"/>
    </xf>
    <xf fontId="27007" applyFont="true" borderId="8" applyBorder="true" applyNumberFormat="true" numFmtId="1" fillId="22" applyFill="true">
      <alignment horizontal="center" vertical="center"/>
    </xf>
    <xf fontId="27008" applyFont="true" borderId="8" applyBorder="true" applyNumberFormat="true" numFmtId="167" fillId="22" applyFill="true">
      <alignment horizontal="center" vertical="center"/>
    </xf>
    <xf fontId="27009" applyFont="true" borderId="8" applyBorder="true" applyNumberFormat="true" numFmtId="1" fillId="22" applyFill="true">
      <alignment horizontal="center" vertical="center"/>
    </xf>
    <xf fontId="27010" applyFont="true" borderId="8" applyBorder="true" applyNumberFormat="true" numFmtId="167" fillId="22" applyFill="true">
      <alignment horizontal="center" vertical="center"/>
    </xf>
    <xf fontId="27011" applyFont="true" borderId="8" applyBorder="true" applyNumberFormat="true" numFmtId="1" fillId="22" applyFill="true">
      <alignment horizontal="center" vertical="center"/>
    </xf>
    <xf fontId="27012" applyFont="true" borderId="8" applyBorder="true" applyNumberFormat="true" numFmtId="167" fillId="22" applyFill="true">
      <alignment horizontal="center" vertical="center"/>
    </xf>
    <xf fontId="27013" applyFont="true" borderId="8" applyBorder="true" applyNumberFormat="true" numFmtId="167" fillId="22" applyFill="true">
      <alignment horizontal="center" vertical="center"/>
    </xf>
    <xf fontId="27014" applyFont="true" borderId="8" applyBorder="true" applyNumberFormat="true" numFmtId="1" fillId="22" applyFill="true">
      <alignment horizontal="center" vertical="center"/>
    </xf>
    <xf fontId="27015" applyFont="true" borderId="8" applyBorder="true" applyNumberFormat="true" numFmtId="1" fillId="22" applyFill="true">
      <alignment horizontal="center" vertical="center"/>
    </xf>
    <xf fontId="27016" applyFont="true" borderId="8" applyBorder="true" applyNumberFormat="true" numFmtId="1" fillId="22" applyFill="true">
      <alignment horizontal="center" vertical="center"/>
    </xf>
    <xf fontId="27017" applyFont="true" borderId="8" applyBorder="true" applyNumberFormat="true" numFmtId="167" fillId="22" applyFill="true">
      <alignment horizontal="center" vertical="center"/>
    </xf>
    <xf fontId="27018" applyFont="true" borderId="8" applyBorder="true" applyNumberFormat="true" numFmtId="166" fillId="22" applyFill="true">
      <alignment horizontal="center" vertical="center"/>
    </xf>
    <xf fontId="27019" applyFont="true" borderId="8" applyBorder="true" applyNumberFormat="true" numFmtId="166" fillId="22" applyFill="true">
      <alignment horizontal="center" vertical="center"/>
    </xf>
    <xf fontId="27020" applyFont="true" borderId="8" applyBorder="true" applyNumberFormat="true" numFmtId="1" fillId="22" applyFill="true">
      <alignment horizontal="center" vertical="center"/>
    </xf>
    <xf fontId="27021" applyFont="true" borderId="8" applyBorder="true" applyNumberFormat="true" numFmtId="1" fillId="22" applyFill="true">
      <alignment horizontal="center" vertical="center"/>
    </xf>
    <xf fontId="27022" applyFont="true" borderId="8" applyBorder="true" applyNumberFormat="true" numFmtId="1" fillId="22" applyFill="true">
      <alignment horizontal="center" vertical="center"/>
    </xf>
    <xf fontId="27023" applyFont="true" borderId="8" applyBorder="true" applyNumberFormat="true" numFmtId="167" fillId="22" applyFill="true">
      <alignment horizontal="center" vertical="center"/>
    </xf>
    <xf fontId="27024" applyFont="true" borderId="8" applyBorder="true" applyNumberFormat="true" numFmtId="1" fillId="22" applyFill="true">
      <alignment horizontal="center" vertical="center"/>
    </xf>
    <xf fontId="27025" applyFont="true" borderId="8" applyBorder="true" applyNumberFormat="true" numFmtId="167" fillId="22" applyFill="true">
      <alignment horizontal="center" vertical="center"/>
    </xf>
    <xf fontId="27026" applyFont="true" borderId="8" applyBorder="true" applyNumberFormat="true" numFmtId="1" fillId="22" applyFill="true">
      <alignment horizontal="center" vertical="center"/>
    </xf>
    <xf fontId="27027" applyFont="true" borderId="8" applyBorder="true" applyNumberFormat="true" numFmtId="1" fillId="22" applyFill="true">
      <alignment horizontal="center" vertical="center"/>
    </xf>
    <xf fontId="27028" applyFont="true" borderId="8" applyBorder="true" applyNumberFormat="true" numFmtId="1" fillId="22" applyFill="true">
      <alignment horizontal="center" vertical="center"/>
    </xf>
    <xf fontId="27029" applyFont="true" borderId="8" applyBorder="true" applyNumberFormat="true" numFmtId="1" fillId="22" applyFill="true">
      <alignment horizontal="center" vertical="center"/>
    </xf>
    <xf fontId="27030" applyFont="true" borderId="8" applyBorder="true" applyNumberFormat="true" numFmtId="167" fillId="22" applyFill="true">
      <alignment horizontal="center" vertical="center"/>
    </xf>
    <xf fontId="27031" applyFont="true" borderId="8" applyBorder="true" applyNumberFormat="true" numFmtId="1" fillId="22" applyFill="true">
      <alignment horizontal="center" vertical="center"/>
    </xf>
    <xf fontId="27032" applyFont="true" borderId="8" applyBorder="true" applyNumberFormat="true" numFmtId="167" fillId="22" applyFill="true">
      <alignment horizontal="center" vertical="center"/>
    </xf>
    <xf fontId="27033" applyFont="true" borderId="8" applyBorder="true" applyNumberFormat="true" numFmtId="1" fillId="22" applyFill="true">
      <alignment horizontal="center" vertical="center"/>
    </xf>
    <xf fontId="27034" applyFont="true" borderId="8" applyBorder="true" applyNumberFormat="true" numFmtId="167" fillId="22" applyFill="true">
      <alignment horizontal="center" vertical="center"/>
    </xf>
    <xf fontId="27035" applyFont="true" borderId="8" applyBorder="true" applyNumberFormat="true" numFmtId="2" fillId="22" applyFill="true">
      <alignment horizontal="center" vertical="center"/>
    </xf>
    <xf fontId="27036" applyFont="true" borderId="8" applyBorder="true" applyNumberFormat="true" numFmtId="2" fillId="22" applyFill="true">
      <alignment horizontal="center" vertical="center"/>
    </xf>
    <xf fontId="27037" applyFont="true" borderId="8" applyBorder="true" applyNumberFormat="true" numFmtId="2" fillId="22" applyFill="true">
      <alignment horizontal="center" vertical="center"/>
    </xf>
    <xf fontId="27038" applyFont="true" borderId="8" applyBorder="true" applyNumberFormat="true" numFmtId="2" fillId="22" applyFill="true">
      <alignment horizontal="center" vertical="center"/>
    </xf>
    <xf fontId="27039" applyFont="true" borderId="8" applyBorder="true" applyNumberFormat="true" numFmtId="2" fillId="22" applyFill="true">
      <alignment horizontal="center" vertical="center"/>
    </xf>
    <xf fontId="27040" applyFont="true" borderId="8" applyBorder="true" applyNumberFormat="true" numFmtId="2" fillId="22" applyFill="true">
      <alignment horizontal="center" vertical="center"/>
    </xf>
    <xf fontId="27041" applyFont="true" borderId="8" applyBorder="true" applyNumberFormat="true" numFmtId="2" fillId="22" applyFill="true">
      <alignment horizontal="center" vertical="center"/>
    </xf>
    <xf fontId="27042" applyFont="true" borderId="8" applyBorder="true" applyNumberFormat="true" numFmtId="2" fillId="22" applyFill="true">
      <alignment horizontal="center" vertical="center"/>
    </xf>
    <xf fontId="27043" applyFont="true" borderId="8" applyBorder="true" applyNumberFormat="true" numFmtId="2" fillId="22" applyFill="true">
      <alignment horizontal="center" vertical="center"/>
    </xf>
    <xf fontId="27044" applyFont="true" borderId="8" applyBorder="true" applyNumberFormat="true" numFmtId="2" fillId="22" applyFill="true">
      <alignment horizontal="center" vertical="center"/>
    </xf>
    <xf fontId="27045" applyFont="true" borderId="8" applyBorder="true" applyNumberFormat="true" numFmtId="2" fillId="22" applyFill="true">
      <alignment horizontal="center" vertical="center"/>
    </xf>
    <xf fontId="27046" applyFont="true" borderId="8" applyBorder="true" applyNumberFormat="true" numFmtId="2" fillId="22" applyFill="true">
      <alignment horizontal="center" vertical="center"/>
    </xf>
    <xf fontId="27047" applyFont="true" borderId="8" applyBorder="true" applyNumberFormat="true" numFmtId="2" fillId="22" applyFill="true">
      <alignment horizontal="center" vertical="center"/>
    </xf>
    <xf fontId="27048" applyFont="true" borderId="8" applyBorder="true" applyNumberFormat="true" numFmtId="2" fillId="22" applyFill="true">
      <alignment horizontal="center" vertical="center"/>
    </xf>
    <xf fontId="27049" applyFont="true" borderId="8" applyBorder="true" applyNumberFormat="true" numFmtId="2" fillId="22" applyFill="true">
      <alignment horizontal="center" vertical="center"/>
    </xf>
    <xf fontId="27050" applyFont="true" borderId="8" applyBorder="true" applyNumberFormat="true" numFmtId="2" fillId="22" applyFill="true">
      <alignment horizontal="center" vertical="center"/>
    </xf>
    <xf fontId="27051" applyFont="true" borderId="8" applyBorder="true" applyNumberFormat="true" numFmtId="2" fillId="22" applyFill="true">
      <alignment horizontal="center" vertical="center"/>
    </xf>
    <xf fontId="27052" applyFont="true" borderId="8" applyBorder="true" applyNumberFormat="true" numFmtId="2" fillId="22" applyFill="true">
      <alignment horizontal="center" vertical="center"/>
    </xf>
    <xf fontId="27053" applyFont="true" borderId="8" applyBorder="true" applyNumberFormat="true" numFmtId="2" fillId="22" applyFill="true">
      <alignment horizontal="center" vertical="center"/>
    </xf>
    <xf fontId="27054" applyFont="true" borderId="8" applyBorder="true" applyNumberFormat="true" numFmtId="2" fillId="22" applyFill="true">
      <alignment horizontal="center" vertical="center"/>
    </xf>
    <xf fontId="27055" applyFont="true" borderId="8" applyBorder="true" applyNumberFormat="true" numFmtId="2" fillId="22" applyFill="true">
      <alignment horizontal="center" vertical="center"/>
    </xf>
    <xf fontId="27056" applyFont="true" borderId="8" applyBorder="true" applyNumberFormat="true" numFmtId="2" fillId="22" applyFill="true">
      <alignment horizontal="center" vertical="center"/>
    </xf>
    <xf fontId="27057" applyFont="true" borderId="8" applyBorder="true" applyNumberFormat="true" numFmtId="2" fillId="22" applyFill="true">
      <alignment horizontal="center" vertical="center"/>
    </xf>
    <xf fontId="27058" applyFont="true" borderId="8" applyBorder="true" applyNumberFormat="true" numFmtId="2" fillId="22" applyFill="true">
      <alignment horizontal="center" vertical="center"/>
    </xf>
    <xf fontId="27059" applyFont="true" borderId="8" applyBorder="true" applyNumberFormat="true" numFmtId="2" fillId="22" applyFill="true">
      <alignment horizontal="center" vertical="center"/>
    </xf>
    <xf fontId="27060" applyFont="true" borderId="8" applyBorder="true" applyNumberFormat="true" numFmtId="2" fillId="22" applyFill="true">
      <alignment horizontal="center" vertical="center"/>
    </xf>
    <xf fontId="27061" applyFont="true" borderId="8" applyBorder="true" applyNumberFormat="true" numFmtId="2" fillId="22" applyFill="true">
      <alignment horizontal="center" vertical="center"/>
    </xf>
    <xf fontId="27062" applyFont="true" borderId="8" applyBorder="true" applyNumberFormat="true" numFmtId="2" fillId="22" applyFill="true">
      <alignment horizontal="center" vertical="center"/>
    </xf>
    <xf fontId="27063" applyFont="true" borderId="8" applyBorder="true" applyNumberFormat="true" numFmtId="2" fillId="22" applyFill="true">
      <alignment horizontal="center" vertical="center"/>
    </xf>
    <xf fontId="27064" applyFont="true" borderId="8" applyBorder="true" applyNumberFormat="true" numFmtId="2" fillId="22" applyFill="true">
      <alignment horizontal="center" vertical="center"/>
    </xf>
    <xf fontId="27065" applyFont="true" borderId="8" applyBorder="true" applyNumberFormat="true" numFmtId="2" fillId="22" applyFill="true">
      <alignment horizontal="center" vertical="center"/>
    </xf>
    <xf fontId="27066" applyFont="true" borderId="8" applyBorder="true" applyNumberFormat="true" numFmtId="2" fillId="22" applyFill="true">
      <alignment horizontal="center" vertical="center"/>
    </xf>
    <xf fontId="27067" applyFont="true" borderId="8" applyBorder="true" applyNumberFormat="true" numFmtId="2" fillId="22" applyFill="true">
      <alignment horizontal="center" vertical="center"/>
    </xf>
    <xf fontId="27068" applyFont="true" borderId="8" applyBorder="true" applyNumberFormat="true" numFmtId="2" fillId="22" applyFill="true">
      <alignment horizontal="center" vertical="center"/>
    </xf>
    <xf fontId="27069" applyFont="true" borderId="8" applyBorder="true" applyNumberFormat="true" numFmtId="165" fillId="19" applyFill="true">
      <alignment horizontal="left" vertical="center"/>
    </xf>
    <xf fontId="27070" applyFont="true" borderId="8" applyBorder="true" applyNumberFormat="true" numFmtId="165" fillId="22" applyFill="true">
      <alignment horizontal="center" vertical="center"/>
    </xf>
    <xf fontId="27071" applyFont="true" borderId="8" applyBorder="true" applyNumberFormat="true" numFmtId="166" fillId="22" applyFill="true">
      <alignment horizontal="center" vertical="center"/>
    </xf>
    <xf fontId="27072" applyFont="true" borderId="8" applyBorder="true" applyNumberFormat="true" numFmtId="1" fillId="22" applyFill="true">
      <alignment horizontal="center" vertical="center"/>
    </xf>
    <xf fontId="27073" applyFont="true" borderId="8" applyBorder="true" applyNumberFormat="true" numFmtId="1" fillId="22" applyFill="true">
      <alignment horizontal="center" vertical="center"/>
    </xf>
    <xf fontId="27074" applyFont="true" borderId="8" applyBorder="true" applyNumberFormat="true" numFmtId="1" fillId="22" applyFill="true">
      <alignment horizontal="center" vertical="center"/>
    </xf>
    <xf fontId="27075" applyFont="true" borderId="8" applyBorder="true" applyNumberFormat="true" numFmtId="1" fillId="22" applyFill="true">
      <alignment horizontal="center" vertical="center"/>
    </xf>
    <xf fontId="27076" applyFont="true" borderId="8" applyBorder="true" applyNumberFormat="true" numFmtId="1" fillId="22" applyFill="true">
      <alignment horizontal="center" vertical="center"/>
    </xf>
    <xf fontId="27077" applyFont="true" borderId="8" applyBorder="true" applyNumberFormat="true" numFmtId="1" fillId="22" applyFill="true">
      <alignment horizontal="center" vertical="center"/>
    </xf>
    <xf fontId="27078" applyFont="true" borderId="8" applyBorder="true" applyNumberFormat="true" numFmtId="1" fillId="22" applyFill="true">
      <alignment horizontal="center" vertical="center"/>
    </xf>
    <xf fontId="27079" applyFont="true" borderId="8" applyBorder="true" applyNumberFormat="true" numFmtId="165" fillId="22" applyFill="true">
      <alignment horizontal="center" vertical="center"/>
    </xf>
    <xf fontId="27080" applyFont="true" borderId="8" applyBorder="true" applyNumberFormat="true" numFmtId="165" fillId="22" applyFill="true">
      <alignment horizontal="center" vertical="center"/>
    </xf>
    <xf fontId="27081" applyFont="true" borderId="8" applyBorder="true" applyNumberFormat="true" numFmtId="1" fillId="22" applyFill="true">
      <alignment horizontal="center" vertical="center"/>
    </xf>
    <xf fontId="27082" applyFont="true" borderId="8" applyBorder="true" applyNumberFormat="true" numFmtId="1" fillId="22" applyFill="true">
      <alignment horizontal="center" vertical="center"/>
    </xf>
    <xf fontId="27083" applyFont="true" borderId="8" applyBorder="true" applyNumberFormat="true" numFmtId="1" fillId="22" applyFill="true">
      <alignment horizontal="center" vertical="center"/>
    </xf>
    <xf fontId="27084" applyFont="true" borderId="8" applyBorder="true" applyNumberFormat="true" numFmtId="167" fillId="22" applyFill="true">
      <alignment horizontal="center" vertical="center"/>
    </xf>
    <xf fontId="27085" applyFont="true" borderId="8" applyBorder="true" applyNumberFormat="true" numFmtId="1" fillId="22" applyFill="true">
      <alignment horizontal="center" vertical="center"/>
    </xf>
    <xf fontId="27086" applyFont="true" borderId="8" applyBorder="true" applyNumberFormat="true" numFmtId="167" fillId="22" applyFill="true">
      <alignment horizontal="center" vertical="center"/>
    </xf>
    <xf fontId="27087" applyFont="true" borderId="8" applyBorder="true" applyNumberFormat="true" numFmtId="1" fillId="22" applyFill="true">
      <alignment horizontal="center" vertical="center"/>
    </xf>
    <xf fontId="27088" applyFont="true" borderId="8" applyBorder="true" applyNumberFormat="true" numFmtId="167" fillId="22" applyFill="true">
      <alignment horizontal="center" vertical="center"/>
    </xf>
    <xf fontId="27089" applyFont="true" borderId="8" applyBorder="true" applyNumberFormat="true" numFmtId="1" fillId="22" applyFill="true">
      <alignment horizontal="center" vertical="center"/>
    </xf>
    <xf fontId="27090" applyFont="true" borderId="8" applyBorder="true" applyNumberFormat="true" numFmtId="167" fillId="22" applyFill="true">
      <alignment horizontal="center" vertical="center"/>
    </xf>
    <xf fontId="27091" applyFont="true" borderId="8" applyBorder="true" applyNumberFormat="true" numFmtId="167" fillId="22" applyFill="true">
      <alignment horizontal="center" vertical="center"/>
    </xf>
    <xf fontId="27092" applyFont="true" borderId="8" applyBorder="true" applyNumberFormat="true" numFmtId="1" fillId="22" applyFill="true">
      <alignment horizontal="center" vertical="center"/>
    </xf>
    <xf fontId="27093" applyFont="true" borderId="8" applyBorder="true" applyNumberFormat="true" numFmtId="1" fillId="22" applyFill="true">
      <alignment horizontal="center" vertical="center"/>
    </xf>
    <xf fontId="27094" applyFont="true" borderId="8" applyBorder="true" applyNumberFormat="true" numFmtId="1" fillId="22" applyFill="true">
      <alignment horizontal="center" vertical="center"/>
    </xf>
    <xf fontId="27095" applyFont="true" borderId="8" applyBorder="true" applyNumberFormat="true" numFmtId="167" fillId="22" applyFill="true">
      <alignment horizontal="center" vertical="center"/>
    </xf>
    <xf fontId="27096" applyFont="true" borderId="8" applyBorder="true" applyNumberFormat="true" numFmtId="166" fillId="22" applyFill="true">
      <alignment horizontal="center" vertical="center"/>
    </xf>
    <xf fontId="27097" applyFont="true" borderId="8" applyBorder="true" applyNumberFormat="true" numFmtId="166" fillId="22" applyFill="true">
      <alignment horizontal="center" vertical="center"/>
    </xf>
    <xf fontId="27098" applyFont="true" borderId="8" applyBorder="true" applyNumberFormat="true" numFmtId="1" fillId="22" applyFill="true">
      <alignment horizontal="center" vertical="center"/>
    </xf>
    <xf fontId="27099" applyFont="true" borderId="8" applyBorder="true" applyNumberFormat="true" numFmtId="1" fillId="22" applyFill="true">
      <alignment horizontal="center" vertical="center"/>
    </xf>
    <xf fontId="27100" applyFont="true" borderId="8" applyBorder="true" applyNumberFormat="true" numFmtId="1" fillId="22" applyFill="true">
      <alignment horizontal="center" vertical="center"/>
    </xf>
    <xf fontId="27101" applyFont="true" borderId="8" applyBorder="true" applyNumberFormat="true" numFmtId="167" fillId="22" applyFill="true">
      <alignment horizontal="center" vertical="center"/>
    </xf>
    <xf fontId="27102" applyFont="true" borderId="8" applyBorder="true" applyNumberFormat="true" numFmtId="1" fillId="22" applyFill="true">
      <alignment horizontal="center" vertical="center"/>
    </xf>
    <xf fontId="27103" applyFont="true" borderId="8" applyBorder="true" applyNumberFormat="true" numFmtId="167" fillId="22" applyFill="true">
      <alignment horizontal="center" vertical="center"/>
    </xf>
    <xf fontId="27104" applyFont="true" borderId="8" applyBorder="true" applyNumberFormat="true" numFmtId="1" fillId="22" applyFill="true">
      <alignment horizontal="center" vertical="center"/>
    </xf>
    <xf fontId="27105" applyFont="true" borderId="8" applyBorder="true" applyNumberFormat="true" numFmtId="1" fillId="22" applyFill="true">
      <alignment horizontal="center" vertical="center"/>
    </xf>
    <xf fontId="27106" applyFont="true" borderId="8" applyBorder="true" applyNumberFormat="true" numFmtId="1" fillId="22" applyFill="true">
      <alignment horizontal="center" vertical="center"/>
    </xf>
    <xf fontId="27107" applyFont="true" borderId="8" applyBorder="true" applyNumberFormat="true" numFmtId="1" fillId="22" applyFill="true">
      <alignment horizontal="center" vertical="center"/>
    </xf>
    <xf fontId="27108" applyFont="true" borderId="8" applyBorder="true" applyNumberFormat="true" numFmtId="167" fillId="22" applyFill="true">
      <alignment horizontal="center" vertical="center"/>
    </xf>
    <xf fontId="27109" applyFont="true" borderId="8" applyBorder="true" applyNumberFormat="true" numFmtId="1" fillId="22" applyFill="true">
      <alignment horizontal="center" vertical="center"/>
    </xf>
    <xf fontId="27110" applyFont="true" borderId="8" applyBorder="true" applyNumberFormat="true" numFmtId="167" fillId="22" applyFill="true">
      <alignment horizontal="center" vertical="center"/>
    </xf>
    <xf fontId="27111" applyFont="true" borderId="8" applyBorder="true" applyNumberFormat="true" numFmtId="1" fillId="22" applyFill="true">
      <alignment horizontal="center" vertical="center"/>
    </xf>
    <xf fontId="27112" applyFont="true" borderId="8" applyBorder="true" applyNumberFormat="true" numFmtId="167" fillId="22" applyFill="true">
      <alignment horizontal="center" vertical="center"/>
    </xf>
    <xf fontId="27113" applyFont="true" borderId="8" applyBorder="true" applyNumberFormat="true" numFmtId="2" fillId="22" applyFill="true">
      <alignment horizontal="center" vertical="center"/>
    </xf>
    <xf fontId="27114" applyFont="true" borderId="8" applyBorder="true" applyNumberFormat="true" numFmtId="2" fillId="22" applyFill="true">
      <alignment horizontal="center" vertical="center"/>
    </xf>
    <xf fontId="27115" applyFont="true" borderId="8" applyBorder="true" applyNumberFormat="true" numFmtId="2" fillId="22" applyFill="true">
      <alignment horizontal="center" vertical="center"/>
    </xf>
    <xf fontId="27116" applyFont="true" borderId="8" applyBorder="true" applyNumberFormat="true" numFmtId="2" fillId="22" applyFill="true">
      <alignment horizontal="center" vertical="center"/>
    </xf>
    <xf fontId="27117" applyFont="true" borderId="8" applyBorder="true" applyNumberFormat="true" numFmtId="2" fillId="22" applyFill="true">
      <alignment horizontal="center" vertical="center"/>
    </xf>
    <xf fontId="27118" applyFont="true" borderId="8" applyBorder="true" applyNumberFormat="true" numFmtId="2" fillId="22" applyFill="true">
      <alignment horizontal="center" vertical="center"/>
    </xf>
    <xf fontId="27119" applyFont="true" borderId="8" applyBorder="true" applyNumberFormat="true" numFmtId="2" fillId="22" applyFill="true">
      <alignment horizontal="center" vertical="center"/>
    </xf>
    <xf fontId="27120" applyFont="true" borderId="8" applyBorder="true" applyNumberFormat="true" numFmtId="2" fillId="22" applyFill="true">
      <alignment horizontal="center" vertical="center"/>
    </xf>
    <xf fontId="27121" applyFont="true" borderId="8" applyBorder="true" applyNumberFormat="true" numFmtId="2" fillId="22" applyFill="true">
      <alignment horizontal="center" vertical="center"/>
    </xf>
    <xf fontId="27122" applyFont="true" borderId="8" applyBorder="true" applyNumberFormat="true" numFmtId="2" fillId="22" applyFill="true">
      <alignment horizontal="center" vertical="center"/>
    </xf>
    <xf fontId="27123" applyFont="true" borderId="8" applyBorder="true" applyNumberFormat="true" numFmtId="2" fillId="22" applyFill="true">
      <alignment horizontal="center" vertical="center"/>
    </xf>
    <xf fontId="27124" applyFont="true" borderId="8" applyBorder="true" applyNumberFormat="true" numFmtId="2" fillId="22" applyFill="true">
      <alignment horizontal="center" vertical="center"/>
    </xf>
    <xf fontId="27125" applyFont="true" borderId="8" applyBorder="true" applyNumberFormat="true" numFmtId="2" fillId="22" applyFill="true">
      <alignment horizontal="center" vertical="center"/>
    </xf>
    <xf fontId="27126" applyFont="true" borderId="8" applyBorder="true" applyNumberFormat="true" numFmtId="2" fillId="22" applyFill="true">
      <alignment horizontal="center" vertical="center"/>
    </xf>
    <xf fontId="27127" applyFont="true" borderId="8" applyBorder="true" applyNumberFormat="true" numFmtId="2" fillId="22" applyFill="true">
      <alignment horizontal="center" vertical="center"/>
    </xf>
    <xf fontId="27128" applyFont="true" borderId="8" applyBorder="true" applyNumberFormat="true" numFmtId="2" fillId="22" applyFill="true">
      <alignment horizontal="center" vertical="center"/>
    </xf>
    <xf fontId="27129" applyFont="true" borderId="8" applyBorder="true" applyNumberFormat="true" numFmtId="2" fillId="22" applyFill="true">
      <alignment horizontal="center" vertical="center"/>
    </xf>
    <xf fontId="27130" applyFont="true" borderId="8" applyBorder="true" applyNumberFormat="true" numFmtId="2" fillId="22" applyFill="true">
      <alignment horizontal="center" vertical="center"/>
    </xf>
    <xf fontId="27131" applyFont="true" borderId="8" applyBorder="true" applyNumberFormat="true" numFmtId="2" fillId="22" applyFill="true">
      <alignment horizontal="center" vertical="center"/>
    </xf>
    <xf fontId="27132" applyFont="true" borderId="8" applyBorder="true" applyNumberFormat="true" numFmtId="2" fillId="22" applyFill="true">
      <alignment horizontal="center" vertical="center"/>
    </xf>
    <xf fontId="27133" applyFont="true" borderId="8" applyBorder="true" applyNumberFormat="true" numFmtId="2" fillId="22" applyFill="true">
      <alignment horizontal="center" vertical="center"/>
    </xf>
    <xf fontId="27134" applyFont="true" borderId="8" applyBorder="true" applyNumberFormat="true" numFmtId="2" fillId="22" applyFill="true">
      <alignment horizontal="center" vertical="center"/>
    </xf>
    <xf fontId="27135" applyFont="true" borderId="8" applyBorder="true" applyNumberFormat="true" numFmtId="2" fillId="22" applyFill="true">
      <alignment horizontal="center" vertical="center"/>
    </xf>
    <xf fontId="27136" applyFont="true" borderId="8" applyBorder="true" applyNumberFormat="true" numFmtId="2" fillId="22" applyFill="true">
      <alignment horizontal="center" vertical="center"/>
    </xf>
    <xf fontId="27137" applyFont="true" borderId="8" applyBorder="true" applyNumberFormat="true" numFmtId="2" fillId="22" applyFill="true">
      <alignment horizontal="center" vertical="center"/>
    </xf>
    <xf fontId="27138" applyFont="true" borderId="8" applyBorder="true" applyNumberFormat="true" numFmtId="2" fillId="22" applyFill="true">
      <alignment horizontal="center" vertical="center"/>
    </xf>
    <xf fontId="27139" applyFont="true" borderId="8" applyBorder="true" applyNumberFormat="true" numFmtId="2" fillId="22" applyFill="true">
      <alignment horizontal="center" vertical="center"/>
    </xf>
    <xf fontId="27140" applyFont="true" borderId="8" applyBorder="true" applyNumberFormat="true" numFmtId="2" fillId="22" applyFill="true">
      <alignment horizontal="center" vertical="center"/>
    </xf>
    <xf fontId="27141" applyFont="true" borderId="8" applyBorder="true" applyNumberFormat="true" numFmtId="2" fillId="22" applyFill="true">
      <alignment horizontal="center" vertical="center"/>
    </xf>
    <xf fontId="27142" applyFont="true" borderId="8" applyBorder="true" applyNumberFormat="true" numFmtId="2" fillId="22" applyFill="true">
      <alignment horizontal="center" vertical="center"/>
    </xf>
    <xf fontId="27143" applyFont="true" borderId="8" applyBorder="true" applyNumberFormat="true" numFmtId="2" fillId="22" applyFill="true">
      <alignment horizontal="center" vertical="center"/>
    </xf>
    <xf fontId="27144" applyFont="true" borderId="8" applyBorder="true" applyNumberFormat="true" numFmtId="2" fillId="22" applyFill="true">
      <alignment horizontal="center" vertical="center"/>
    </xf>
    <xf fontId="27145" applyFont="true" borderId="8" applyBorder="true" applyNumberFormat="true" numFmtId="2" fillId="22" applyFill="true">
      <alignment horizontal="center" vertical="center"/>
    </xf>
    <xf fontId="27146" applyFont="true" borderId="8" applyBorder="true" applyNumberFormat="true" numFmtId="2" fillId="22" applyFill="true">
      <alignment horizontal="center" vertical="center"/>
    </xf>
    <xf fontId="27147" applyFont="true" borderId="8" applyBorder="true" applyNumberFormat="true" numFmtId="165" fillId="19" applyFill="true">
      <alignment horizontal="left" vertical="center"/>
    </xf>
    <xf fontId="27148" applyFont="true" borderId="8" applyBorder="true" applyNumberFormat="true" numFmtId="165" fillId="22" applyFill="true">
      <alignment horizontal="center" vertical="center"/>
    </xf>
    <xf fontId="27149" applyFont="true" borderId="8" applyBorder="true" applyNumberFormat="true" numFmtId="166" fillId="22" applyFill="true">
      <alignment horizontal="center" vertical="center"/>
    </xf>
    <xf fontId="27150" applyFont="true" borderId="8" applyBorder="true" applyNumberFormat="true" numFmtId="1" fillId="22" applyFill="true">
      <alignment horizontal="center" vertical="center"/>
    </xf>
    <xf fontId="27151" applyFont="true" borderId="8" applyBorder="true" applyNumberFormat="true" numFmtId="1" fillId="22" applyFill="true">
      <alignment horizontal="center" vertical="center"/>
    </xf>
    <xf fontId="27152" applyFont="true" borderId="8" applyBorder="true" applyNumberFormat="true" numFmtId="1" fillId="22" applyFill="true">
      <alignment horizontal="center" vertical="center"/>
    </xf>
    <xf fontId="27153" applyFont="true" borderId="8" applyBorder="true" applyNumberFormat="true" numFmtId="1" fillId="22" applyFill="true">
      <alignment horizontal="center" vertical="center"/>
    </xf>
    <xf fontId="27154" applyFont="true" borderId="8" applyBorder="true" applyNumberFormat="true" numFmtId="1" fillId="22" applyFill="true">
      <alignment horizontal="center" vertical="center"/>
    </xf>
    <xf fontId="27155" applyFont="true" borderId="8" applyBorder="true" applyNumberFormat="true" numFmtId="1" fillId="22" applyFill="true">
      <alignment horizontal="center" vertical="center"/>
    </xf>
    <xf fontId="27156" applyFont="true" borderId="8" applyBorder="true" applyNumberFormat="true" numFmtId="1" fillId="22" applyFill="true">
      <alignment horizontal="center" vertical="center"/>
    </xf>
    <xf fontId="27157" applyFont="true" borderId="8" applyBorder="true" applyNumberFormat="true" numFmtId="165" fillId="22" applyFill="true">
      <alignment horizontal="center" vertical="center"/>
    </xf>
    <xf fontId="27158" applyFont="true" borderId="8" applyBorder="true" applyNumberFormat="true" numFmtId="165" fillId="22" applyFill="true">
      <alignment horizontal="center" vertical="center"/>
    </xf>
    <xf fontId="27159" applyFont="true" borderId="8" applyBorder="true" applyNumberFormat="true" numFmtId="1" fillId="22" applyFill="true">
      <alignment horizontal="center" vertical="center"/>
    </xf>
    <xf fontId="27160" applyFont="true" borderId="8" applyBorder="true" applyNumberFormat="true" numFmtId="1" fillId="22" applyFill="true">
      <alignment horizontal="center" vertical="center"/>
    </xf>
    <xf fontId="27161" applyFont="true" borderId="8" applyBorder="true" applyNumberFormat="true" numFmtId="1" fillId="22" applyFill="true">
      <alignment horizontal="center" vertical="center"/>
    </xf>
    <xf fontId="27162" applyFont="true" borderId="8" applyBorder="true" applyNumberFormat="true" numFmtId="167" fillId="22" applyFill="true">
      <alignment horizontal="center" vertical="center"/>
    </xf>
    <xf fontId="27163" applyFont="true" borderId="8" applyBorder="true" applyNumberFormat="true" numFmtId="1" fillId="22" applyFill="true">
      <alignment horizontal="center" vertical="center"/>
    </xf>
    <xf fontId="27164" applyFont="true" borderId="8" applyBorder="true" applyNumberFormat="true" numFmtId="167" fillId="22" applyFill="true">
      <alignment horizontal="center" vertical="center"/>
    </xf>
    <xf fontId="27165" applyFont="true" borderId="8" applyBorder="true" applyNumberFormat="true" numFmtId="1" fillId="22" applyFill="true">
      <alignment horizontal="center" vertical="center"/>
    </xf>
    <xf fontId="27166" applyFont="true" borderId="8" applyBorder="true" applyNumberFormat="true" numFmtId="167" fillId="22" applyFill="true">
      <alignment horizontal="center" vertical="center"/>
    </xf>
    <xf fontId="27167" applyFont="true" borderId="8" applyBorder="true" applyNumberFormat="true" numFmtId="1" fillId="22" applyFill="true">
      <alignment horizontal="center" vertical="center"/>
    </xf>
    <xf fontId="27168" applyFont="true" borderId="8" applyBorder="true" applyNumberFormat="true" numFmtId="167" fillId="22" applyFill="true">
      <alignment horizontal="center" vertical="center"/>
    </xf>
    <xf fontId="27169" applyFont="true" borderId="8" applyBorder="true" applyNumberFormat="true" numFmtId="167" fillId="22" applyFill="true">
      <alignment horizontal="center" vertical="center"/>
    </xf>
    <xf fontId="27170" applyFont="true" borderId="8" applyBorder="true" applyNumberFormat="true" numFmtId="1" fillId="22" applyFill="true">
      <alignment horizontal="center" vertical="center"/>
    </xf>
    <xf fontId="27171" applyFont="true" borderId="8" applyBorder="true" applyNumberFormat="true" numFmtId="1" fillId="22" applyFill="true">
      <alignment horizontal="center" vertical="center"/>
    </xf>
    <xf fontId="27172" applyFont="true" borderId="8" applyBorder="true" applyNumberFormat="true" numFmtId="1" fillId="22" applyFill="true">
      <alignment horizontal="center" vertical="center"/>
    </xf>
    <xf fontId="27173" applyFont="true" borderId="8" applyBorder="true" applyNumberFormat="true" numFmtId="167" fillId="22" applyFill="true">
      <alignment horizontal="center" vertical="center"/>
    </xf>
    <xf fontId="27174" applyFont="true" borderId="8" applyBorder="true" applyNumberFormat="true" numFmtId="166" fillId="22" applyFill="true">
      <alignment horizontal="center" vertical="center"/>
    </xf>
    <xf fontId="27175" applyFont="true" borderId="8" applyBorder="true" applyNumberFormat="true" numFmtId="166" fillId="22" applyFill="true">
      <alignment horizontal="center" vertical="center"/>
    </xf>
    <xf fontId="27176" applyFont="true" borderId="8" applyBorder="true" applyNumberFormat="true" numFmtId="1" fillId="22" applyFill="true">
      <alignment horizontal="center" vertical="center"/>
    </xf>
    <xf fontId="27177" applyFont="true" borderId="8" applyBorder="true" applyNumberFormat="true" numFmtId="1" fillId="22" applyFill="true">
      <alignment horizontal="center" vertical="center"/>
    </xf>
    <xf fontId="27178" applyFont="true" borderId="8" applyBorder="true" applyNumberFormat="true" numFmtId="1" fillId="22" applyFill="true">
      <alignment horizontal="center" vertical="center"/>
    </xf>
    <xf fontId="27179" applyFont="true" borderId="8" applyBorder="true" applyNumberFormat="true" numFmtId="167" fillId="22" applyFill="true">
      <alignment horizontal="center" vertical="center"/>
    </xf>
    <xf fontId="27180" applyFont="true" borderId="8" applyBorder="true" applyNumberFormat="true" numFmtId="1" fillId="22" applyFill="true">
      <alignment horizontal="center" vertical="center"/>
    </xf>
    <xf fontId="27181" applyFont="true" borderId="8" applyBorder="true" applyNumberFormat="true" numFmtId="167" fillId="22" applyFill="true">
      <alignment horizontal="center" vertical="center"/>
    </xf>
    <xf fontId="27182" applyFont="true" borderId="8" applyBorder="true" applyNumberFormat="true" numFmtId="1" fillId="22" applyFill="true">
      <alignment horizontal="center" vertical="center"/>
    </xf>
    <xf fontId="27183" applyFont="true" borderId="8" applyBorder="true" applyNumberFormat="true" numFmtId="1" fillId="22" applyFill="true">
      <alignment horizontal="center" vertical="center"/>
    </xf>
    <xf fontId="27184" applyFont="true" borderId="8" applyBorder="true" applyNumberFormat="true" numFmtId="1" fillId="22" applyFill="true">
      <alignment horizontal="center" vertical="center"/>
    </xf>
    <xf fontId="27185" applyFont="true" borderId="8" applyBorder="true" applyNumberFormat="true" numFmtId="1" fillId="22" applyFill="true">
      <alignment horizontal="center" vertical="center"/>
    </xf>
    <xf fontId="27186" applyFont="true" borderId="8" applyBorder="true" applyNumberFormat="true" numFmtId="167" fillId="22" applyFill="true">
      <alignment horizontal="center" vertical="center"/>
    </xf>
    <xf fontId="27187" applyFont="true" borderId="8" applyBorder="true" applyNumberFormat="true" numFmtId="1" fillId="22" applyFill="true">
      <alignment horizontal="center" vertical="center"/>
    </xf>
    <xf fontId="27188" applyFont="true" borderId="8" applyBorder="true" applyNumberFormat="true" numFmtId="167" fillId="22" applyFill="true">
      <alignment horizontal="center" vertical="center"/>
    </xf>
    <xf fontId="27189" applyFont="true" borderId="8" applyBorder="true" applyNumberFormat="true" numFmtId="1" fillId="22" applyFill="true">
      <alignment horizontal="center" vertical="center"/>
    </xf>
    <xf fontId="27190" applyFont="true" borderId="8" applyBorder="true" applyNumberFormat="true" numFmtId="167" fillId="22" applyFill="true">
      <alignment horizontal="center" vertical="center"/>
    </xf>
    <xf fontId="27191" applyFont="true" borderId="8" applyBorder="true" applyNumberFormat="true" numFmtId="2" fillId="22" applyFill="true">
      <alignment horizontal="center" vertical="center"/>
    </xf>
    <xf fontId="27192" applyFont="true" borderId="8" applyBorder="true" applyNumberFormat="true" numFmtId="2" fillId="22" applyFill="true">
      <alignment horizontal="center" vertical="center"/>
    </xf>
    <xf fontId="27193" applyFont="true" borderId="8" applyBorder="true" applyNumberFormat="true" numFmtId="2" fillId="22" applyFill="true">
      <alignment horizontal="center" vertical="center"/>
    </xf>
    <xf fontId="27194" applyFont="true" borderId="8" applyBorder="true" applyNumberFormat="true" numFmtId="2" fillId="22" applyFill="true">
      <alignment horizontal="center" vertical="center"/>
    </xf>
    <xf fontId="27195" applyFont="true" borderId="8" applyBorder="true" applyNumberFormat="true" numFmtId="2" fillId="22" applyFill="true">
      <alignment horizontal="center" vertical="center"/>
    </xf>
    <xf fontId="27196" applyFont="true" borderId="8" applyBorder="true" applyNumberFormat="true" numFmtId="2" fillId="22" applyFill="true">
      <alignment horizontal="center" vertical="center"/>
    </xf>
    <xf fontId="27197" applyFont="true" borderId="8" applyBorder="true" applyNumberFormat="true" numFmtId="2" fillId="22" applyFill="true">
      <alignment horizontal="center" vertical="center"/>
    </xf>
    <xf fontId="27198" applyFont="true" borderId="8" applyBorder="true" applyNumberFormat="true" numFmtId="2" fillId="22" applyFill="true">
      <alignment horizontal="center" vertical="center"/>
    </xf>
    <xf fontId="27199" applyFont="true" borderId="8" applyBorder="true" applyNumberFormat="true" numFmtId="2" fillId="22" applyFill="true">
      <alignment horizontal="center" vertical="center"/>
    </xf>
    <xf fontId="27200" applyFont="true" borderId="8" applyBorder="true" applyNumberFormat="true" numFmtId="2" fillId="22" applyFill="true">
      <alignment horizontal="center" vertical="center"/>
    </xf>
    <xf fontId="27201" applyFont="true" borderId="8" applyBorder="true" applyNumberFormat="true" numFmtId="2" fillId="22" applyFill="true">
      <alignment horizontal="center" vertical="center"/>
    </xf>
    <xf fontId="27202" applyFont="true" borderId="8" applyBorder="true" applyNumberFormat="true" numFmtId="2" fillId="22" applyFill="true">
      <alignment horizontal="center" vertical="center"/>
    </xf>
    <xf fontId="27203" applyFont="true" borderId="8" applyBorder="true" applyNumberFormat="true" numFmtId="2" fillId="22" applyFill="true">
      <alignment horizontal="center" vertical="center"/>
    </xf>
    <xf fontId="27204" applyFont="true" borderId="8" applyBorder="true" applyNumberFormat="true" numFmtId="2" fillId="22" applyFill="true">
      <alignment horizontal="center" vertical="center"/>
    </xf>
    <xf fontId="27205" applyFont="true" borderId="8" applyBorder="true" applyNumberFormat="true" numFmtId="2" fillId="22" applyFill="true">
      <alignment horizontal="center" vertical="center"/>
    </xf>
    <xf fontId="27206" applyFont="true" borderId="8" applyBorder="true" applyNumberFormat="true" numFmtId="2" fillId="22" applyFill="true">
      <alignment horizontal="center" vertical="center"/>
    </xf>
    <xf fontId="27207" applyFont="true" borderId="8" applyBorder="true" applyNumberFormat="true" numFmtId="2" fillId="22" applyFill="true">
      <alignment horizontal="center" vertical="center"/>
    </xf>
    <xf fontId="27208" applyFont="true" borderId="8" applyBorder="true" applyNumberFormat="true" numFmtId="2" fillId="22" applyFill="true">
      <alignment horizontal="center" vertical="center"/>
    </xf>
    <xf fontId="27209" applyFont="true" borderId="8" applyBorder="true" applyNumberFormat="true" numFmtId="2" fillId="22" applyFill="true">
      <alignment horizontal="center" vertical="center"/>
    </xf>
    <xf fontId="27210" applyFont="true" borderId="8" applyBorder="true" applyNumberFormat="true" numFmtId="2" fillId="22" applyFill="true">
      <alignment horizontal="center" vertical="center"/>
    </xf>
    <xf fontId="27211" applyFont="true" borderId="8" applyBorder="true" applyNumberFormat="true" numFmtId="2" fillId="22" applyFill="true">
      <alignment horizontal="center" vertical="center"/>
    </xf>
    <xf fontId="27212" applyFont="true" borderId="8" applyBorder="true" applyNumberFormat="true" numFmtId="2" fillId="22" applyFill="true">
      <alignment horizontal="center" vertical="center"/>
    </xf>
    <xf fontId="27213" applyFont="true" borderId="8" applyBorder="true" applyNumberFormat="true" numFmtId="2" fillId="22" applyFill="true">
      <alignment horizontal="center" vertical="center"/>
    </xf>
    <xf fontId="27214" applyFont="true" borderId="8" applyBorder="true" applyNumberFormat="true" numFmtId="2" fillId="22" applyFill="true">
      <alignment horizontal="center" vertical="center"/>
    </xf>
    <xf fontId="27215" applyFont="true" borderId="8" applyBorder="true" applyNumberFormat="true" numFmtId="2" fillId="22" applyFill="true">
      <alignment horizontal="center" vertical="center"/>
    </xf>
    <xf fontId="27216" applyFont="true" borderId="8" applyBorder="true" applyNumberFormat="true" numFmtId="2" fillId="22" applyFill="true">
      <alignment horizontal="center" vertical="center"/>
    </xf>
    <xf fontId="27217" applyFont="true" borderId="8" applyBorder="true" applyNumberFormat="true" numFmtId="2" fillId="22" applyFill="true">
      <alignment horizontal="center" vertical="center"/>
    </xf>
    <xf fontId="27218" applyFont="true" borderId="8" applyBorder="true" applyNumberFormat="true" numFmtId="2" fillId="22" applyFill="true">
      <alignment horizontal="center" vertical="center"/>
    </xf>
    <xf fontId="27219" applyFont="true" borderId="8" applyBorder="true" applyNumberFormat="true" numFmtId="2" fillId="22" applyFill="true">
      <alignment horizontal="center" vertical="center"/>
    </xf>
    <xf fontId="27220" applyFont="true" borderId="8" applyBorder="true" applyNumberFormat="true" numFmtId="2" fillId="22" applyFill="true">
      <alignment horizontal="center" vertical="center"/>
    </xf>
    <xf fontId="27221" applyFont="true" borderId="8" applyBorder="true" applyNumberFormat="true" numFmtId="2" fillId="22" applyFill="true">
      <alignment horizontal="center" vertical="center"/>
    </xf>
    <xf fontId="27222" applyFont="true" borderId="8" applyBorder="true" applyNumberFormat="true" numFmtId="2" fillId="22" applyFill="true">
      <alignment horizontal="center" vertical="center"/>
    </xf>
    <xf fontId="27223" applyFont="true" borderId="8" applyBorder="true" applyNumberFormat="true" numFmtId="2" fillId="22" applyFill="true">
      <alignment horizontal="center" vertical="center"/>
    </xf>
    <xf fontId="27224" applyFont="true" borderId="8" applyBorder="true" applyNumberFormat="true" numFmtId="2" fillId="22" applyFill="true">
      <alignment horizontal="center" vertical="center"/>
    </xf>
    <xf fontId="27225" applyFont="true" borderId="8" applyBorder="true" applyNumberFormat="true" numFmtId="165" fillId="19" applyFill="true">
      <alignment horizontal="left" vertical="center"/>
    </xf>
    <xf fontId="27226" applyFont="true" borderId="8" applyBorder="true" applyNumberFormat="true" numFmtId="165" fillId="22" applyFill="true">
      <alignment horizontal="center" vertical="center"/>
    </xf>
    <xf fontId="27227" applyFont="true" borderId="8" applyBorder="true" applyNumberFormat="true" numFmtId="166" fillId="22" applyFill="true">
      <alignment horizontal="center" vertical="center"/>
    </xf>
    <xf fontId="27228" applyFont="true" borderId="8" applyBorder="true" applyNumberFormat="true" numFmtId="1" fillId="22" applyFill="true">
      <alignment horizontal="center" vertical="center"/>
    </xf>
    <xf fontId="27229" applyFont="true" borderId="8" applyBorder="true" applyNumberFormat="true" numFmtId="1" fillId="22" applyFill="true">
      <alignment horizontal="center" vertical="center"/>
    </xf>
    <xf fontId="27230" applyFont="true" borderId="8" applyBorder="true" applyNumberFormat="true" numFmtId="1" fillId="22" applyFill="true">
      <alignment horizontal="center" vertical="center"/>
    </xf>
    <xf fontId="27231" applyFont="true" borderId="8" applyBorder="true" applyNumberFormat="true" numFmtId="1" fillId="22" applyFill="true">
      <alignment horizontal="center" vertical="center"/>
    </xf>
    <xf fontId="27232" applyFont="true" borderId="8" applyBorder="true" applyNumberFormat="true" numFmtId="1" fillId="22" applyFill="true">
      <alignment horizontal="center" vertical="center"/>
    </xf>
    <xf fontId="27233" applyFont="true" borderId="8" applyBorder="true" applyNumberFormat="true" numFmtId="1" fillId="22" applyFill="true">
      <alignment horizontal="center" vertical="center"/>
    </xf>
    <xf fontId="27234" applyFont="true" borderId="8" applyBorder="true" applyNumberFormat="true" numFmtId="1" fillId="22" applyFill="true">
      <alignment horizontal="center" vertical="center"/>
    </xf>
    <xf fontId="27235" applyFont="true" borderId="8" applyBorder="true" applyNumberFormat="true" numFmtId="165" fillId="22" applyFill="true">
      <alignment horizontal="center" vertical="center"/>
    </xf>
    <xf fontId="27236" applyFont="true" borderId="8" applyBorder="true" applyNumberFormat="true" numFmtId="165" fillId="22" applyFill="true">
      <alignment horizontal="center" vertical="center"/>
    </xf>
    <xf fontId="27237" applyFont="true" borderId="8" applyBorder="true" applyNumberFormat="true" numFmtId="1" fillId="22" applyFill="true">
      <alignment horizontal="center" vertical="center"/>
    </xf>
    <xf fontId="27238" applyFont="true" borderId="8" applyBorder="true" applyNumberFormat="true" numFmtId="1" fillId="22" applyFill="true">
      <alignment horizontal="center" vertical="center"/>
    </xf>
    <xf fontId="27239" applyFont="true" borderId="8" applyBorder="true" applyNumberFormat="true" numFmtId="1" fillId="22" applyFill="true">
      <alignment horizontal="center" vertical="center"/>
    </xf>
    <xf fontId="27240" applyFont="true" borderId="8" applyBorder="true" applyNumberFormat="true" numFmtId="167" fillId="22" applyFill="true">
      <alignment horizontal="center" vertical="center"/>
    </xf>
    <xf fontId="27241" applyFont="true" borderId="8" applyBorder="true" applyNumberFormat="true" numFmtId="1" fillId="22" applyFill="true">
      <alignment horizontal="center" vertical="center"/>
    </xf>
    <xf fontId="27242" applyFont="true" borderId="8" applyBorder="true" applyNumberFormat="true" numFmtId="167" fillId="22" applyFill="true">
      <alignment horizontal="center" vertical="center"/>
    </xf>
    <xf fontId="27243" applyFont="true" borderId="8" applyBorder="true" applyNumberFormat="true" numFmtId="1" fillId="22" applyFill="true">
      <alignment horizontal="center" vertical="center"/>
    </xf>
    <xf fontId="27244" applyFont="true" borderId="8" applyBorder="true" applyNumberFormat="true" numFmtId="167" fillId="22" applyFill="true">
      <alignment horizontal="center" vertical="center"/>
    </xf>
    <xf fontId="27245" applyFont="true" borderId="8" applyBorder="true" applyNumberFormat="true" numFmtId="1" fillId="22" applyFill="true">
      <alignment horizontal="center" vertical="center"/>
    </xf>
    <xf fontId="27246" applyFont="true" borderId="8" applyBorder="true" applyNumberFormat="true" numFmtId="167" fillId="22" applyFill="true">
      <alignment horizontal="center" vertical="center"/>
    </xf>
    <xf fontId="27247" applyFont="true" borderId="8" applyBorder="true" applyNumberFormat="true" numFmtId="167" fillId="22" applyFill="true">
      <alignment horizontal="center" vertical="center"/>
    </xf>
    <xf fontId="27248" applyFont="true" borderId="8" applyBorder="true" applyNumberFormat="true" numFmtId="1" fillId="22" applyFill="true">
      <alignment horizontal="center" vertical="center"/>
    </xf>
    <xf fontId="27249" applyFont="true" borderId="8" applyBorder="true" applyNumberFormat="true" numFmtId="1" fillId="22" applyFill="true">
      <alignment horizontal="center" vertical="center"/>
    </xf>
    <xf fontId="27250" applyFont="true" borderId="8" applyBorder="true" applyNumberFormat="true" numFmtId="1" fillId="22" applyFill="true">
      <alignment horizontal="center" vertical="center"/>
    </xf>
    <xf fontId="27251" applyFont="true" borderId="8" applyBorder="true" applyNumberFormat="true" numFmtId="167" fillId="22" applyFill="true">
      <alignment horizontal="center" vertical="center"/>
    </xf>
    <xf fontId="27252" applyFont="true" borderId="8" applyBorder="true" applyNumberFormat="true" numFmtId="166" fillId="22" applyFill="true">
      <alignment horizontal="center" vertical="center"/>
    </xf>
    <xf fontId="27253" applyFont="true" borderId="8" applyBorder="true" applyNumberFormat="true" numFmtId="166" fillId="22" applyFill="true">
      <alignment horizontal="center" vertical="center"/>
    </xf>
    <xf fontId="27254" applyFont="true" borderId="8" applyBorder="true" applyNumberFormat="true" numFmtId="1" fillId="22" applyFill="true">
      <alignment horizontal="center" vertical="center"/>
    </xf>
    <xf fontId="27255" applyFont="true" borderId="8" applyBorder="true" applyNumberFormat="true" numFmtId="1" fillId="22" applyFill="true">
      <alignment horizontal="center" vertical="center"/>
    </xf>
    <xf fontId="27256" applyFont="true" borderId="8" applyBorder="true" applyNumberFormat="true" numFmtId="1" fillId="22" applyFill="true">
      <alignment horizontal="center" vertical="center"/>
    </xf>
    <xf fontId="27257" applyFont="true" borderId="8" applyBorder="true" applyNumberFormat="true" numFmtId="167" fillId="22" applyFill="true">
      <alignment horizontal="center" vertical="center"/>
    </xf>
    <xf fontId="27258" applyFont="true" borderId="8" applyBorder="true" applyNumberFormat="true" numFmtId="1" fillId="22" applyFill="true">
      <alignment horizontal="center" vertical="center"/>
    </xf>
    <xf fontId="27259" applyFont="true" borderId="8" applyBorder="true" applyNumberFormat="true" numFmtId="167" fillId="22" applyFill="true">
      <alignment horizontal="center" vertical="center"/>
    </xf>
    <xf fontId="27260" applyFont="true" borderId="8" applyBorder="true" applyNumberFormat="true" numFmtId="1" fillId="22" applyFill="true">
      <alignment horizontal="center" vertical="center"/>
    </xf>
    <xf fontId="27261" applyFont="true" borderId="8" applyBorder="true" applyNumberFormat="true" numFmtId="1" fillId="22" applyFill="true">
      <alignment horizontal="center" vertical="center"/>
    </xf>
    <xf fontId="27262" applyFont="true" borderId="8" applyBorder="true" applyNumberFormat="true" numFmtId="1" fillId="22" applyFill="true">
      <alignment horizontal="center" vertical="center"/>
    </xf>
    <xf fontId="27263" applyFont="true" borderId="8" applyBorder="true" applyNumberFormat="true" numFmtId="1" fillId="22" applyFill="true">
      <alignment horizontal="center" vertical="center"/>
    </xf>
    <xf fontId="27264" applyFont="true" borderId="8" applyBorder="true" applyNumberFormat="true" numFmtId="167" fillId="22" applyFill="true">
      <alignment horizontal="center" vertical="center"/>
    </xf>
    <xf fontId="27265" applyFont="true" borderId="8" applyBorder="true" applyNumberFormat="true" numFmtId="1" fillId="22" applyFill="true">
      <alignment horizontal="center" vertical="center"/>
    </xf>
    <xf fontId="27266" applyFont="true" borderId="8" applyBorder="true" applyNumberFormat="true" numFmtId="167" fillId="22" applyFill="true">
      <alignment horizontal="center" vertical="center"/>
    </xf>
    <xf fontId="27267" applyFont="true" borderId="8" applyBorder="true" applyNumberFormat="true" numFmtId="1" fillId="22" applyFill="true">
      <alignment horizontal="center" vertical="center"/>
    </xf>
    <xf fontId="27268" applyFont="true" borderId="8" applyBorder="true" applyNumberFormat="true" numFmtId="167" fillId="22" applyFill="true">
      <alignment horizontal="center" vertical="center"/>
    </xf>
    <xf fontId="27269" applyFont="true" borderId="8" applyBorder="true" applyNumberFormat="true" numFmtId="2" fillId="22" applyFill="true">
      <alignment horizontal="center" vertical="center"/>
    </xf>
    <xf fontId="27270" applyFont="true" borderId="8" applyBorder="true" applyNumberFormat="true" numFmtId="2" fillId="22" applyFill="true">
      <alignment horizontal="center" vertical="center"/>
    </xf>
    <xf fontId="27271" applyFont="true" borderId="8" applyBorder="true" applyNumberFormat="true" numFmtId="2" fillId="22" applyFill="true">
      <alignment horizontal="center" vertical="center"/>
    </xf>
    <xf fontId="27272" applyFont="true" borderId="8" applyBorder="true" applyNumberFormat="true" numFmtId="2" fillId="22" applyFill="true">
      <alignment horizontal="center" vertical="center"/>
    </xf>
    <xf fontId="27273" applyFont="true" borderId="8" applyBorder="true" applyNumberFormat="true" numFmtId="2" fillId="22" applyFill="true">
      <alignment horizontal="center" vertical="center"/>
    </xf>
    <xf fontId="27274" applyFont="true" borderId="8" applyBorder="true" applyNumberFormat="true" numFmtId="2" fillId="22" applyFill="true">
      <alignment horizontal="center" vertical="center"/>
    </xf>
    <xf fontId="27275" applyFont="true" borderId="8" applyBorder="true" applyNumberFormat="true" numFmtId="2" fillId="22" applyFill="true">
      <alignment horizontal="center" vertical="center"/>
    </xf>
    <xf fontId="27276" applyFont="true" borderId="8" applyBorder="true" applyNumberFormat="true" numFmtId="2" fillId="22" applyFill="true">
      <alignment horizontal="center" vertical="center"/>
    </xf>
    <xf fontId="27277" applyFont="true" borderId="8" applyBorder="true" applyNumberFormat="true" numFmtId="2" fillId="22" applyFill="true">
      <alignment horizontal="center" vertical="center"/>
    </xf>
    <xf fontId="27278" applyFont="true" borderId="8" applyBorder="true" applyNumberFormat="true" numFmtId="2" fillId="22" applyFill="true">
      <alignment horizontal="center" vertical="center"/>
    </xf>
    <xf fontId="27279" applyFont="true" borderId="8" applyBorder="true" applyNumberFormat="true" numFmtId="2" fillId="22" applyFill="true">
      <alignment horizontal="center" vertical="center"/>
    </xf>
    <xf fontId="27280" applyFont="true" borderId="8" applyBorder="true" applyNumberFormat="true" numFmtId="2" fillId="22" applyFill="true">
      <alignment horizontal="center" vertical="center"/>
    </xf>
    <xf fontId="27281" applyFont="true" borderId="8" applyBorder="true" applyNumberFormat="true" numFmtId="2" fillId="22" applyFill="true">
      <alignment horizontal="center" vertical="center"/>
    </xf>
    <xf fontId="27282" applyFont="true" borderId="8" applyBorder="true" applyNumberFormat="true" numFmtId="2" fillId="22" applyFill="true">
      <alignment horizontal="center" vertical="center"/>
    </xf>
    <xf fontId="27283" applyFont="true" borderId="8" applyBorder="true" applyNumberFormat="true" numFmtId="2" fillId="22" applyFill="true">
      <alignment horizontal="center" vertical="center"/>
    </xf>
    <xf fontId="27284" applyFont="true" borderId="8" applyBorder="true" applyNumberFormat="true" numFmtId="2" fillId="22" applyFill="true">
      <alignment horizontal="center" vertical="center"/>
    </xf>
    <xf fontId="27285" applyFont="true" borderId="8" applyBorder="true" applyNumberFormat="true" numFmtId="2" fillId="22" applyFill="true">
      <alignment horizontal="center" vertical="center"/>
    </xf>
    <xf fontId="27286" applyFont="true" borderId="8" applyBorder="true" applyNumberFormat="true" numFmtId="2" fillId="22" applyFill="true">
      <alignment horizontal="center" vertical="center"/>
    </xf>
    <xf fontId="27287" applyFont="true" borderId="8" applyBorder="true" applyNumberFormat="true" numFmtId="2" fillId="22" applyFill="true">
      <alignment horizontal="center" vertical="center"/>
    </xf>
    <xf fontId="27288" applyFont="true" borderId="8" applyBorder="true" applyNumberFormat="true" numFmtId="2" fillId="22" applyFill="true">
      <alignment horizontal="center" vertical="center"/>
    </xf>
    <xf fontId="27289" applyFont="true" borderId="8" applyBorder="true" applyNumberFormat="true" numFmtId="2" fillId="22" applyFill="true">
      <alignment horizontal="center" vertical="center"/>
    </xf>
    <xf fontId="27290" applyFont="true" borderId="8" applyBorder="true" applyNumberFormat="true" numFmtId="2" fillId="22" applyFill="true">
      <alignment horizontal="center" vertical="center"/>
    </xf>
    <xf fontId="27291" applyFont="true" borderId="8" applyBorder="true" applyNumberFormat="true" numFmtId="2" fillId="22" applyFill="true">
      <alignment horizontal="center" vertical="center"/>
    </xf>
    <xf fontId="27292" applyFont="true" borderId="8" applyBorder="true" applyNumberFormat="true" numFmtId="2" fillId="22" applyFill="true">
      <alignment horizontal="center" vertical="center"/>
    </xf>
    <xf fontId="27293" applyFont="true" borderId="8" applyBorder="true" applyNumberFormat="true" numFmtId="2" fillId="22" applyFill="true">
      <alignment horizontal="center" vertical="center"/>
    </xf>
    <xf fontId="27294" applyFont="true" borderId="8" applyBorder="true" applyNumberFormat="true" numFmtId="2" fillId="22" applyFill="true">
      <alignment horizontal="center" vertical="center"/>
    </xf>
    <xf fontId="27295" applyFont="true" borderId="8" applyBorder="true" applyNumberFormat="true" numFmtId="2" fillId="22" applyFill="true">
      <alignment horizontal="center" vertical="center"/>
    </xf>
    <xf fontId="27296" applyFont="true" borderId="8" applyBorder="true" applyNumberFormat="true" numFmtId="2" fillId="22" applyFill="true">
      <alignment horizontal="center" vertical="center"/>
    </xf>
    <xf fontId="27297" applyFont="true" borderId="8" applyBorder="true" applyNumberFormat="true" numFmtId="2" fillId="22" applyFill="true">
      <alignment horizontal="center" vertical="center"/>
    </xf>
    <xf fontId="27298" applyFont="true" borderId="8" applyBorder="true" applyNumberFormat="true" numFmtId="2" fillId="22" applyFill="true">
      <alignment horizontal="center" vertical="center"/>
    </xf>
    <xf fontId="27299" applyFont="true" borderId="8" applyBorder="true" applyNumberFormat="true" numFmtId="2" fillId="22" applyFill="true">
      <alignment horizontal="center" vertical="center"/>
    </xf>
    <xf fontId="27300" applyFont="true" borderId="8" applyBorder="true" applyNumberFormat="true" numFmtId="2" fillId="22" applyFill="true">
      <alignment horizontal="center" vertical="center"/>
    </xf>
    <xf fontId="27301" applyFont="true" borderId="8" applyBorder="true" applyNumberFormat="true" numFmtId="2" fillId="22" applyFill="true">
      <alignment horizontal="center" vertical="center"/>
    </xf>
    <xf fontId="27302" applyFont="true" borderId="8" applyBorder="true" applyNumberFormat="true" numFmtId="2" fillId="22" applyFill="true">
      <alignment horizontal="center" vertical="center"/>
    </xf>
    <xf fontId="27303" applyFont="true" borderId="8" applyBorder="true" applyNumberFormat="true" numFmtId="165" fillId="19" applyFill="true">
      <alignment horizontal="left" vertical="center"/>
    </xf>
    <xf fontId="27304" applyFont="true" borderId="8" applyBorder="true" applyNumberFormat="true" numFmtId="165" fillId="22" applyFill="true">
      <alignment horizontal="center" vertical="center"/>
    </xf>
    <xf fontId="27305" applyFont="true" borderId="8" applyBorder="true" applyNumberFormat="true" numFmtId="166" fillId="22" applyFill="true">
      <alignment horizontal="center" vertical="center"/>
    </xf>
    <xf fontId="27306" applyFont="true" borderId="8" applyBorder="true" applyNumberFormat="true" numFmtId="1" fillId="22" applyFill="true">
      <alignment horizontal="center" vertical="center"/>
    </xf>
    <xf fontId="27307" applyFont="true" borderId="8" applyBorder="true" applyNumberFormat="true" numFmtId="1" fillId="22" applyFill="true">
      <alignment horizontal="center" vertical="center"/>
    </xf>
    <xf fontId="27308" applyFont="true" borderId="8" applyBorder="true" applyNumberFormat="true" numFmtId="1" fillId="22" applyFill="true">
      <alignment horizontal="center" vertical="center"/>
    </xf>
    <xf fontId="27309" applyFont="true" borderId="8" applyBorder="true" applyNumberFormat="true" numFmtId="1" fillId="22" applyFill="true">
      <alignment horizontal="center" vertical="center"/>
    </xf>
    <xf fontId="27310" applyFont="true" borderId="8" applyBorder="true" applyNumberFormat="true" numFmtId="1" fillId="22" applyFill="true">
      <alignment horizontal="center" vertical="center"/>
    </xf>
    <xf fontId="27311" applyFont="true" borderId="8" applyBorder="true" applyNumberFormat="true" numFmtId="1" fillId="22" applyFill="true">
      <alignment horizontal="center" vertical="center"/>
    </xf>
    <xf fontId="27312" applyFont="true" borderId="8" applyBorder="true" applyNumberFormat="true" numFmtId="1" fillId="22" applyFill="true">
      <alignment horizontal="center" vertical="center"/>
    </xf>
    <xf fontId="27313" applyFont="true" borderId="8" applyBorder="true" applyNumberFormat="true" numFmtId="165" fillId="22" applyFill="true">
      <alignment horizontal="center" vertical="center"/>
    </xf>
    <xf fontId="27314" applyFont="true" borderId="8" applyBorder="true" applyNumberFormat="true" numFmtId="165" fillId="22" applyFill="true">
      <alignment horizontal="center" vertical="center"/>
    </xf>
    <xf fontId="27315" applyFont="true" borderId="8" applyBorder="true" applyNumberFormat="true" numFmtId="1" fillId="22" applyFill="true">
      <alignment horizontal="center" vertical="center"/>
    </xf>
    <xf fontId="27316" applyFont="true" borderId="8" applyBorder="true" applyNumberFormat="true" numFmtId="1" fillId="22" applyFill="true">
      <alignment horizontal="center" vertical="center"/>
    </xf>
    <xf fontId="27317" applyFont="true" borderId="8" applyBorder="true" applyNumberFormat="true" numFmtId="1" fillId="22" applyFill="true">
      <alignment horizontal="center" vertical="center"/>
    </xf>
    <xf fontId="27318" applyFont="true" borderId="8" applyBorder="true" applyNumberFormat="true" numFmtId="167" fillId="22" applyFill="true">
      <alignment horizontal="center" vertical="center"/>
    </xf>
    <xf fontId="27319" applyFont="true" borderId="8" applyBorder="true" applyNumberFormat="true" numFmtId="1" fillId="22" applyFill="true">
      <alignment horizontal="center" vertical="center"/>
    </xf>
    <xf fontId="27320" applyFont="true" borderId="8" applyBorder="true" applyNumberFormat="true" numFmtId="167" fillId="22" applyFill="true">
      <alignment horizontal="center" vertical="center"/>
    </xf>
    <xf fontId="27321" applyFont="true" borderId="8" applyBorder="true" applyNumberFormat="true" numFmtId="1" fillId="22" applyFill="true">
      <alignment horizontal="center" vertical="center"/>
    </xf>
    <xf fontId="27322" applyFont="true" borderId="8" applyBorder="true" applyNumberFormat="true" numFmtId="167" fillId="22" applyFill="true">
      <alignment horizontal="center" vertical="center"/>
    </xf>
    <xf fontId="27323" applyFont="true" borderId="8" applyBorder="true" applyNumberFormat="true" numFmtId="1" fillId="22" applyFill="true">
      <alignment horizontal="center" vertical="center"/>
    </xf>
    <xf fontId="27324" applyFont="true" borderId="8" applyBorder="true" applyNumberFormat="true" numFmtId="167" fillId="22" applyFill="true">
      <alignment horizontal="center" vertical="center"/>
    </xf>
    <xf fontId="27325" applyFont="true" borderId="8" applyBorder="true" applyNumberFormat="true" numFmtId="167" fillId="22" applyFill="true">
      <alignment horizontal="center" vertical="center"/>
    </xf>
    <xf fontId="27326" applyFont="true" borderId="8" applyBorder="true" applyNumberFormat="true" numFmtId="1" fillId="22" applyFill="true">
      <alignment horizontal="center" vertical="center"/>
    </xf>
    <xf fontId="27327" applyFont="true" borderId="8" applyBorder="true" applyNumberFormat="true" numFmtId="1" fillId="22" applyFill="true">
      <alignment horizontal="center" vertical="center"/>
    </xf>
    <xf fontId="27328" applyFont="true" borderId="8" applyBorder="true" applyNumberFormat="true" numFmtId="1" fillId="22" applyFill="true">
      <alignment horizontal="center" vertical="center"/>
    </xf>
    <xf fontId="27329" applyFont="true" borderId="8" applyBorder="true" applyNumberFormat="true" numFmtId="167" fillId="22" applyFill="true">
      <alignment horizontal="center" vertical="center"/>
    </xf>
    <xf fontId="27330" applyFont="true" borderId="8" applyBorder="true" applyNumberFormat="true" numFmtId="166" fillId="22" applyFill="true">
      <alignment horizontal="center" vertical="center"/>
    </xf>
    <xf fontId="27331" applyFont="true" borderId="8" applyBorder="true" applyNumberFormat="true" numFmtId="166" fillId="22" applyFill="true">
      <alignment horizontal="center" vertical="center"/>
    </xf>
    <xf fontId="27332" applyFont="true" borderId="8" applyBorder="true" applyNumberFormat="true" numFmtId="1" fillId="22" applyFill="true">
      <alignment horizontal="center" vertical="center"/>
    </xf>
    <xf fontId="27333" applyFont="true" borderId="8" applyBorder="true" applyNumberFormat="true" numFmtId="1" fillId="22" applyFill="true">
      <alignment horizontal="center" vertical="center"/>
    </xf>
    <xf fontId="27334" applyFont="true" borderId="8" applyBorder="true" applyNumberFormat="true" numFmtId="1" fillId="22" applyFill="true">
      <alignment horizontal="center" vertical="center"/>
    </xf>
    <xf fontId="27335" applyFont="true" borderId="8" applyBorder="true" applyNumberFormat="true" numFmtId="167" fillId="22" applyFill="true">
      <alignment horizontal="center" vertical="center"/>
    </xf>
    <xf fontId="27336" applyFont="true" borderId="8" applyBorder="true" applyNumberFormat="true" numFmtId="1" fillId="22" applyFill="true">
      <alignment horizontal="center" vertical="center"/>
    </xf>
    <xf fontId="27337" applyFont="true" borderId="8" applyBorder="true" applyNumberFormat="true" numFmtId="167" fillId="22" applyFill="true">
      <alignment horizontal="center" vertical="center"/>
    </xf>
    <xf fontId="27338" applyFont="true" borderId="8" applyBorder="true" applyNumberFormat="true" numFmtId="1" fillId="22" applyFill="true">
      <alignment horizontal="center" vertical="center"/>
    </xf>
    <xf fontId="27339" applyFont="true" borderId="8" applyBorder="true" applyNumberFormat="true" numFmtId="1" fillId="22" applyFill="true">
      <alignment horizontal="center" vertical="center"/>
    </xf>
    <xf fontId="27340" applyFont="true" borderId="8" applyBorder="true" applyNumberFormat="true" numFmtId="1" fillId="22" applyFill="true">
      <alignment horizontal="center" vertical="center"/>
    </xf>
    <xf fontId="27341" applyFont="true" borderId="8" applyBorder="true" applyNumberFormat="true" numFmtId="1" fillId="22" applyFill="true">
      <alignment horizontal="center" vertical="center"/>
    </xf>
    <xf fontId="27342" applyFont="true" borderId="8" applyBorder="true" applyNumberFormat="true" numFmtId="167" fillId="22" applyFill="true">
      <alignment horizontal="center" vertical="center"/>
    </xf>
    <xf fontId="27343" applyFont="true" borderId="8" applyBorder="true" applyNumberFormat="true" numFmtId="1" fillId="22" applyFill="true">
      <alignment horizontal="center" vertical="center"/>
    </xf>
    <xf fontId="27344" applyFont="true" borderId="8" applyBorder="true" applyNumberFormat="true" numFmtId="167" fillId="22" applyFill="true">
      <alignment horizontal="center" vertical="center"/>
    </xf>
    <xf fontId="27345" applyFont="true" borderId="8" applyBorder="true" applyNumberFormat="true" numFmtId="1" fillId="22" applyFill="true">
      <alignment horizontal="center" vertical="center"/>
    </xf>
    <xf fontId="27346" applyFont="true" borderId="8" applyBorder="true" applyNumberFormat="true" numFmtId="167" fillId="22" applyFill="true">
      <alignment horizontal="center" vertical="center"/>
    </xf>
    <xf fontId="27347" applyFont="true" borderId="8" applyBorder="true" applyNumberFormat="true" numFmtId="2" fillId="22" applyFill="true">
      <alignment horizontal="center" vertical="center"/>
    </xf>
    <xf fontId="27348" applyFont="true" borderId="8" applyBorder="true" applyNumberFormat="true" numFmtId="2" fillId="22" applyFill="true">
      <alignment horizontal="center" vertical="center"/>
    </xf>
    <xf fontId="27349" applyFont="true" borderId="8" applyBorder="true" applyNumberFormat="true" numFmtId="2" fillId="22" applyFill="true">
      <alignment horizontal="center" vertical="center"/>
    </xf>
    <xf fontId="27350" applyFont="true" borderId="8" applyBorder="true" applyNumberFormat="true" numFmtId="2" fillId="22" applyFill="true">
      <alignment horizontal="center" vertical="center"/>
    </xf>
    <xf fontId="27351" applyFont="true" borderId="8" applyBorder="true" applyNumberFormat="true" numFmtId="2" fillId="22" applyFill="true">
      <alignment horizontal="center" vertical="center"/>
    </xf>
    <xf fontId="27352" applyFont="true" borderId="8" applyBorder="true" applyNumberFormat="true" numFmtId="2" fillId="22" applyFill="true">
      <alignment horizontal="center" vertical="center"/>
    </xf>
    <xf fontId="27353" applyFont="true" borderId="8" applyBorder="true" applyNumberFormat="true" numFmtId="2" fillId="22" applyFill="true">
      <alignment horizontal="center" vertical="center"/>
    </xf>
    <xf fontId="27354" applyFont="true" borderId="8" applyBorder="true" applyNumberFormat="true" numFmtId="2" fillId="22" applyFill="true">
      <alignment horizontal="center" vertical="center"/>
    </xf>
    <xf fontId="27355" applyFont="true" borderId="8" applyBorder="true" applyNumberFormat="true" numFmtId="2" fillId="22" applyFill="true">
      <alignment horizontal="center" vertical="center"/>
    </xf>
    <xf fontId="27356" applyFont="true" borderId="8" applyBorder="true" applyNumberFormat="true" numFmtId="2" fillId="22" applyFill="true">
      <alignment horizontal="center" vertical="center"/>
    </xf>
    <xf fontId="27357" applyFont="true" borderId="8" applyBorder="true" applyNumberFormat="true" numFmtId="2" fillId="22" applyFill="true">
      <alignment horizontal="center" vertical="center"/>
    </xf>
    <xf fontId="27358" applyFont="true" borderId="8" applyBorder="true" applyNumberFormat="true" numFmtId="2" fillId="22" applyFill="true">
      <alignment horizontal="center" vertical="center"/>
    </xf>
    <xf fontId="27359" applyFont="true" borderId="8" applyBorder="true" applyNumberFormat="true" numFmtId="2" fillId="22" applyFill="true">
      <alignment horizontal="center" vertical="center"/>
    </xf>
    <xf fontId="27360" applyFont="true" borderId="8" applyBorder="true" applyNumberFormat="true" numFmtId="2" fillId="22" applyFill="true">
      <alignment horizontal="center" vertical="center"/>
    </xf>
    <xf fontId="27361" applyFont="true" borderId="8" applyBorder="true" applyNumberFormat="true" numFmtId="2" fillId="22" applyFill="true">
      <alignment horizontal="center" vertical="center"/>
    </xf>
    <xf fontId="27362" applyFont="true" borderId="8" applyBorder="true" applyNumberFormat="true" numFmtId="2" fillId="22" applyFill="true">
      <alignment horizontal="center" vertical="center"/>
    </xf>
    <xf fontId="27363" applyFont="true" borderId="8" applyBorder="true" applyNumberFormat="true" numFmtId="2" fillId="22" applyFill="true">
      <alignment horizontal="center" vertical="center"/>
    </xf>
    <xf fontId="27364" applyFont="true" borderId="8" applyBorder="true" applyNumberFormat="true" numFmtId="2" fillId="22" applyFill="true">
      <alignment horizontal="center" vertical="center"/>
    </xf>
    <xf fontId="27365" applyFont="true" borderId="8" applyBorder="true" applyNumberFormat="true" numFmtId="2" fillId="22" applyFill="true">
      <alignment horizontal="center" vertical="center"/>
    </xf>
    <xf fontId="27366" applyFont="true" borderId="8" applyBorder="true" applyNumberFormat="true" numFmtId="2" fillId="22" applyFill="true">
      <alignment horizontal="center" vertical="center"/>
    </xf>
    <xf fontId="27367" applyFont="true" borderId="8" applyBorder="true" applyNumberFormat="true" numFmtId="2" fillId="22" applyFill="true">
      <alignment horizontal="center" vertical="center"/>
    </xf>
    <xf fontId="27368" applyFont="true" borderId="8" applyBorder="true" applyNumberFormat="true" numFmtId="2" fillId="22" applyFill="true">
      <alignment horizontal="center" vertical="center"/>
    </xf>
    <xf fontId="27369" applyFont="true" borderId="8" applyBorder="true" applyNumberFormat="true" numFmtId="2" fillId="22" applyFill="true">
      <alignment horizontal="center" vertical="center"/>
    </xf>
    <xf fontId="27370" applyFont="true" borderId="8" applyBorder="true" applyNumberFormat="true" numFmtId="2" fillId="22" applyFill="true">
      <alignment horizontal="center" vertical="center"/>
    </xf>
    <xf fontId="27371" applyFont="true" borderId="8" applyBorder="true" applyNumberFormat="true" numFmtId="2" fillId="22" applyFill="true">
      <alignment horizontal="center" vertical="center"/>
    </xf>
    <xf fontId="27372" applyFont="true" borderId="8" applyBorder="true" applyNumberFormat="true" numFmtId="2" fillId="22" applyFill="true">
      <alignment horizontal="center" vertical="center"/>
    </xf>
    <xf fontId="27373" applyFont="true" borderId="8" applyBorder="true" applyNumberFormat="true" numFmtId="2" fillId="22" applyFill="true">
      <alignment horizontal="center" vertical="center"/>
    </xf>
    <xf fontId="27374" applyFont="true" borderId="8" applyBorder="true" applyNumberFormat="true" numFmtId="2" fillId="22" applyFill="true">
      <alignment horizontal="center" vertical="center"/>
    </xf>
    <xf fontId="27375" applyFont="true" borderId="8" applyBorder="true" applyNumberFormat="true" numFmtId="2" fillId="22" applyFill="true">
      <alignment horizontal="center" vertical="center"/>
    </xf>
    <xf fontId="27376" applyFont="true" borderId="8" applyBorder="true" applyNumberFormat="true" numFmtId="2" fillId="22" applyFill="true">
      <alignment horizontal="center" vertical="center"/>
    </xf>
    <xf fontId="27377" applyFont="true" borderId="8" applyBorder="true" applyNumberFormat="true" numFmtId="2" fillId="22" applyFill="true">
      <alignment horizontal="center" vertical="center"/>
    </xf>
    <xf fontId="27378" applyFont="true" borderId="8" applyBorder="true" applyNumberFormat="true" numFmtId="2" fillId="22" applyFill="true">
      <alignment horizontal="center" vertical="center"/>
    </xf>
    <xf fontId="27379" applyFont="true" borderId="8" applyBorder="true" applyNumberFormat="true" numFmtId="2" fillId="22" applyFill="true">
      <alignment horizontal="center" vertical="center"/>
    </xf>
    <xf fontId="27380" applyFont="true" borderId="8" applyBorder="true" applyNumberFormat="true" numFmtId="2" fillId="22" applyFill="true">
      <alignment horizontal="center" vertical="center"/>
    </xf>
    <xf fontId="27381" applyFont="true" borderId="8" applyBorder="true" applyNumberFormat="true" numFmtId="165" fillId="19" applyFill="true">
      <alignment horizontal="left" vertical="center"/>
    </xf>
    <xf fontId="27382" applyFont="true" borderId="8" applyBorder="true" applyNumberFormat="true" numFmtId="165" fillId="22" applyFill="true">
      <alignment horizontal="center" vertical="center"/>
    </xf>
    <xf fontId="27383" applyFont="true" borderId="8" applyBorder="true" applyNumberFormat="true" numFmtId="166" fillId="22" applyFill="true">
      <alignment horizontal="center" vertical="center"/>
    </xf>
    <xf fontId="27384" applyFont="true" borderId="8" applyBorder="true" applyNumberFormat="true" numFmtId="1" fillId="22" applyFill="true">
      <alignment horizontal="center" vertical="center"/>
    </xf>
    <xf fontId="27385" applyFont="true" borderId="8" applyBorder="true" applyNumberFormat="true" numFmtId="1" fillId="22" applyFill="true">
      <alignment horizontal="center" vertical="center"/>
    </xf>
    <xf fontId="27386" applyFont="true" borderId="8" applyBorder="true" applyNumberFormat="true" numFmtId="1" fillId="22" applyFill="true">
      <alignment horizontal="center" vertical="center"/>
    </xf>
    <xf fontId="27387" applyFont="true" borderId="8" applyBorder="true" applyNumberFormat="true" numFmtId="1" fillId="22" applyFill="true">
      <alignment horizontal="center" vertical="center"/>
    </xf>
    <xf fontId="27388" applyFont="true" borderId="8" applyBorder="true" applyNumberFormat="true" numFmtId="1" fillId="22" applyFill="true">
      <alignment horizontal="center" vertical="center"/>
    </xf>
    <xf fontId="27389" applyFont="true" borderId="8" applyBorder="true" applyNumberFormat="true" numFmtId="1" fillId="22" applyFill="true">
      <alignment horizontal="center" vertical="center"/>
    </xf>
    <xf fontId="27390" applyFont="true" borderId="8" applyBorder="true" applyNumberFormat="true" numFmtId="1" fillId="22" applyFill="true">
      <alignment horizontal="center" vertical="center"/>
    </xf>
    <xf fontId="27391" applyFont="true" borderId="8" applyBorder="true" applyNumberFormat="true" numFmtId="165" fillId="22" applyFill="true">
      <alignment horizontal="center" vertical="center"/>
    </xf>
    <xf fontId="27392" applyFont="true" borderId="8" applyBorder="true" applyNumberFormat="true" numFmtId="165" fillId="22" applyFill="true">
      <alignment horizontal="center" vertical="center"/>
    </xf>
    <xf fontId="27393" applyFont="true" borderId="8" applyBorder="true" applyNumberFormat="true" numFmtId="1" fillId="22" applyFill="true">
      <alignment horizontal="center" vertical="center"/>
    </xf>
    <xf fontId="27394" applyFont="true" borderId="8" applyBorder="true" applyNumberFormat="true" numFmtId="1" fillId="22" applyFill="true">
      <alignment horizontal="center" vertical="center"/>
    </xf>
    <xf fontId="27395" applyFont="true" borderId="8" applyBorder="true" applyNumberFormat="true" numFmtId="1" fillId="22" applyFill="true">
      <alignment horizontal="center" vertical="center"/>
    </xf>
    <xf fontId="27396" applyFont="true" borderId="8" applyBorder="true" applyNumberFormat="true" numFmtId="167" fillId="22" applyFill="true">
      <alignment horizontal="center" vertical="center"/>
    </xf>
    <xf fontId="27397" applyFont="true" borderId="8" applyBorder="true" applyNumberFormat="true" numFmtId="1" fillId="22" applyFill="true">
      <alignment horizontal="center" vertical="center"/>
    </xf>
    <xf fontId="27398" applyFont="true" borderId="8" applyBorder="true" applyNumberFormat="true" numFmtId="167" fillId="22" applyFill="true">
      <alignment horizontal="center" vertical="center"/>
    </xf>
    <xf fontId="27399" applyFont="true" borderId="8" applyBorder="true" applyNumberFormat="true" numFmtId="1" fillId="22" applyFill="true">
      <alignment horizontal="center" vertical="center"/>
    </xf>
    <xf fontId="27400" applyFont="true" borderId="8" applyBorder="true" applyNumberFormat="true" numFmtId="167" fillId="22" applyFill="true">
      <alignment horizontal="center" vertical="center"/>
    </xf>
    <xf fontId="27401" applyFont="true" borderId="8" applyBorder="true" applyNumberFormat="true" numFmtId="1" fillId="22" applyFill="true">
      <alignment horizontal="center" vertical="center"/>
    </xf>
    <xf fontId="27402" applyFont="true" borderId="8" applyBorder="true" applyNumberFormat="true" numFmtId="167" fillId="22" applyFill="true">
      <alignment horizontal="center" vertical="center"/>
    </xf>
    <xf fontId="27403" applyFont="true" borderId="8" applyBorder="true" applyNumberFormat="true" numFmtId="167" fillId="22" applyFill="true">
      <alignment horizontal="center" vertical="center"/>
    </xf>
    <xf fontId="27404" applyFont="true" borderId="8" applyBorder="true" applyNumberFormat="true" numFmtId="1" fillId="22" applyFill="true">
      <alignment horizontal="center" vertical="center"/>
    </xf>
    <xf fontId="27405" applyFont="true" borderId="8" applyBorder="true" applyNumberFormat="true" numFmtId="1" fillId="22" applyFill="true">
      <alignment horizontal="center" vertical="center"/>
    </xf>
    <xf fontId="27406" applyFont="true" borderId="8" applyBorder="true" applyNumberFormat="true" numFmtId="1" fillId="22" applyFill="true">
      <alignment horizontal="center" vertical="center"/>
    </xf>
    <xf fontId="27407" applyFont="true" borderId="8" applyBorder="true" applyNumberFormat="true" numFmtId="167" fillId="22" applyFill="true">
      <alignment horizontal="center" vertical="center"/>
    </xf>
    <xf fontId="27408" applyFont="true" borderId="8" applyBorder="true" applyNumberFormat="true" numFmtId="166" fillId="22" applyFill="true">
      <alignment horizontal="center" vertical="center"/>
    </xf>
    <xf fontId="27409" applyFont="true" borderId="8" applyBorder="true" applyNumberFormat="true" numFmtId="166" fillId="22" applyFill="true">
      <alignment horizontal="center" vertical="center"/>
    </xf>
    <xf fontId="27410" applyFont="true" borderId="8" applyBorder="true" applyNumberFormat="true" numFmtId="1" fillId="22" applyFill="true">
      <alignment horizontal="center" vertical="center"/>
    </xf>
    <xf fontId="27411" applyFont="true" borderId="8" applyBorder="true" applyNumberFormat="true" numFmtId="1" fillId="22" applyFill="true">
      <alignment horizontal="center" vertical="center"/>
    </xf>
    <xf fontId="27412" applyFont="true" borderId="8" applyBorder="true" applyNumberFormat="true" numFmtId="1" fillId="22" applyFill="true">
      <alignment horizontal="center" vertical="center"/>
    </xf>
    <xf fontId="27413" applyFont="true" borderId="8" applyBorder="true" applyNumberFormat="true" numFmtId="167" fillId="22" applyFill="true">
      <alignment horizontal="center" vertical="center"/>
    </xf>
    <xf fontId="27414" applyFont="true" borderId="8" applyBorder="true" applyNumberFormat="true" numFmtId="1" fillId="22" applyFill="true">
      <alignment horizontal="center" vertical="center"/>
    </xf>
    <xf fontId="27415" applyFont="true" borderId="8" applyBorder="true" applyNumberFormat="true" numFmtId="167" fillId="22" applyFill="true">
      <alignment horizontal="center" vertical="center"/>
    </xf>
    <xf fontId="27416" applyFont="true" borderId="8" applyBorder="true" applyNumberFormat="true" numFmtId="1" fillId="22" applyFill="true">
      <alignment horizontal="center" vertical="center"/>
    </xf>
    <xf fontId="27417" applyFont="true" borderId="8" applyBorder="true" applyNumberFormat="true" numFmtId="1" fillId="22" applyFill="true">
      <alignment horizontal="center" vertical="center"/>
    </xf>
    <xf fontId="27418" applyFont="true" borderId="8" applyBorder="true" applyNumberFormat="true" numFmtId="1" fillId="22" applyFill="true">
      <alignment horizontal="center" vertical="center"/>
    </xf>
    <xf fontId="27419" applyFont="true" borderId="8" applyBorder="true" applyNumberFormat="true" numFmtId="1" fillId="22" applyFill="true">
      <alignment horizontal="center" vertical="center"/>
    </xf>
    <xf fontId="27420" applyFont="true" borderId="8" applyBorder="true" applyNumberFormat="true" numFmtId="167" fillId="22" applyFill="true">
      <alignment horizontal="center" vertical="center"/>
    </xf>
    <xf fontId="27421" applyFont="true" borderId="8" applyBorder="true" applyNumberFormat="true" numFmtId="1" fillId="22" applyFill="true">
      <alignment horizontal="center" vertical="center"/>
    </xf>
    <xf fontId="27422" applyFont="true" borderId="8" applyBorder="true" applyNumberFormat="true" numFmtId="167" fillId="22" applyFill="true">
      <alignment horizontal="center" vertical="center"/>
    </xf>
    <xf fontId="27423" applyFont="true" borderId="8" applyBorder="true" applyNumberFormat="true" numFmtId="1" fillId="22" applyFill="true">
      <alignment horizontal="center" vertical="center"/>
    </xf>
    <xf fontId="27424" applyFont="true" borderId="8" applyBorder="true" applyNumberFormat="true" numFmtId="167" fillId="22" applyFill="true">
      <alignment horizontal="center" vertical="center"/>
    </xf>
    <xf fontId="27425" applyFont="true" borderId="8" applyBorder="true" applyNumberFormat="true" numFmtId="2" fillId="22" applyFill="true">
      <alignment horizontal="center" vertical="center"/>
    </xf>
    <xf fontId="27426" applyFont="true" borderId="8" applyBorder="true" applyNumberFormat="true" numFmtId="2" fillId="22" applyFill="true">
      <alignment horizontal="center" vertical="center"/>
    </xf>
    <xf fontId="27427" applyFont="true" borderId="8" applyBorder="true" applyNumberFormat="true" numFmtId="2" fillId="22" applyFill="true">
      <alignment horizontal="center" vertical="center"/>
    </xf>
    <xf fontId="27428" applyFont="true" borderId="8" applyBorder="true" applyNumberFormat="true" numFmtId="2" fillId="22" applyFill="true">
      <alignment horizontal="center" vertical="center"/>
    </xf>
    <xf fontId="27429" applyFont="true" borderId="8" applyBorder="true" applyNumberFormat="true" numFmtId="2" fillId="22" applyFill="true">
      <alignment horizontal="center" vertical="center"/>
    </xf>
    <xf fontId="27430" applyFont="true" borderId="8" applyBorder="true" applyNumberFormat="true" numFmtId="2" fillId="22" applyFill="true">
      <alignment horizontal="center" vertical="center"/>
    </xf>
    <xf fontId="27431" applyFont="true" borderId="8" applyBorder="true" applyNumberFormat="true" numFmtId="2" fillId="22" applyFill="true">
      <alignment horizontal="center" vertical="center"/>
    </xf>
    <xf fontId="27432" applyFont="true" borderId="8" applyBorder="true" applyNumberFormat="true" numFmtId="2" fillId="22" applyFill="true">
      <alignment horizontal="center" vertical="center"/>
    </xf>
    <xf fontId="27433" applyFont="true" borderId="8" applyBorder="true" applyNumberFormat="true" numFmtId="2" fillId="22" applyFill="true">
      <alignment horizontal="center" vertical="center"/>
    </xf>
    <xf fontId="27434" applyFont="true" borderId="8" applyBorder="true" applyNumberFormat="true" numFmtId="2" fillId="22" applyFill="true">
      <alignment horizontal="center" vertical="center"/>
    </xf>
    <xf fontId="27435" applyFont="true" borderId="8" applyBorder="true" applyNumberFormat="true" numFmtId="2" fillId="22" applyFill="true">
      <alignment horizontal="center" vertical="center"/>
    </xf>
    <xf fontId="27436" applyFont="true" borderId="8" applyBorder="true" applyNumberFormat="true" numFmtId="2" fillId="22" applyFill="true">
      <alignment horizontal="center" vertical="center"/>
    </xf>
    <xf fontId="27437" applyFont="true" borderId="8" applyBorder="true" applyNumberFormat="true" numFmtId="2" fillId="22" applyFill="true">
      <alignment horizontal="center" vertical="center"/>
    </xf>
    <xf fontId="27438" applyFont="true" borderId="8" applyBorder="true" applyNumberFormat="true" numFmtId="2" fillId="22" applyFill="true">
      <alignment horizontal="center" vertical="center"/>
    </xf>
    <xf fontId="27439" applyFont="true" borderId="8" applyBorder="true" applyNumberFormat="true" numFmtId="2" fillId="22" applyFill="true">
      <alignment horizontal="center" vertical="center"/>
    </xf>
    <xf fontId="27440" applyFont="true" borderId="8" applyBorder="true" applyNumberFormat="true" numFmtId="2" fillId="22" applyFill="true">
      <alignment horizontal="center" vertical="center"/>
    </xf>
    <xf fontId="27441" applyFont="true" borderId="8" applyBorder="true" applyNumberFormat="true" numFmtId="2" fillId="22" applyFill="true">
      <alignment horizontal="center" vertical="center"/>
    </xf>
    <xf fontId="27442" applyFont="true" borderId="8" applyBorder="true" applyNumberFormat="true" numFmtId="2" fillId="22" applyFill="true">
      <alignment horizontal="center" vertical="center"/>
    </xf>
    <xf fontId="27443" applyFont="true" borderId="8" applyBorder="true" applyNumberFormat="true" numFmtId="2" fillId="22" applyFill="true">
      <alignment horizontal="center" vertical="center"/>
    </xf>
    <xf fontId="27444" applyFont="true" borderId="8" applyBorder="true" applyNumberFormat="true" numFmtId="2" fillId="22" applyFill="true">
      <alignment horizontal="center" vertical="center"/>
    </xf>
    <xf fontId="27445" applyFont="true" borderId="8" applyBorder="true" applyNumberFormat="true" numFmtId="2" fillId="22" applyFill="true">
      <alignment horizontal="center" vertical="center"/>
    </xf>
    <xf fontId="27446" applyFont="true" borderId="8" applyBorder="true" applyNumberFormat="true" numFmtId="2" fillId="22" applyFill="true">
      <alignment horizontal="center" vertical="center"/>
    </xf>
    <xf fontId="27447" applyFont="true" borderId="8" applyBorder="true" applyNumberFormat="true" numFmtId="2" fillId="22" applyFill="true">
      <alignment horizontal="center" vertical="center"/>
    </xf>
    <xf fontId="27448" applyFont="true" borderId="8" applyBorder="true" applyNumberFormat="true" numFmtId="2" fillId="22" applyFill="true">
      <alignment horizontal="center" vertical="center"/>
    </xf>
    <xf fontId="27449" applyFont="true" borderId="8" applyBorder="true" applyNumberFormat="true" numFmtId="2" fillId="22" applyFill="true">
      <alignment horizontal="center" vertical="center"/>
    </xf>
    <xf fontId="27450" applyFont="true" borderId="8" applyBorder="true" applyNumberFormat="true" numFmtId="2" fillId="22" applyFill="true">
      <alignment horizontal="center" vertical="center"/>
    </xf>
    <xf fontId="27451" applyFont="true" borderId="8" applyBorder="true" applyNumberFormat="true" numFmtId="2" fillId="22" applyFill="true">
      <alignment horizontal="center" vertical="center"/>
    </xf>
    <xf fontId="27452" applyFont="true" borderId="8" applyBorder="true" applyNumberFormat="true" numFmtId="2" fillId="22" applyFill="true">
      <alignment horizontal="center" vertical="center"/>
    </xf>
    <xf fontId="27453" applyFont="true" borderId="8" applyBorder="true" applyNumberFormat="true" numFmtId="2" fillId="22" applyFill="true">
      <alignment horizontal="center" vertical="center"/>
    </xf>
    <xf fontId="27454" applyFont="true" borderId="8" applyBorder="true" applyNumberFormat="true" numFmtId="2" fillId="22" applyFill="true">
      <alignment horizontal="center" vertical="center"/>
    </xf>
    <xf fontId="27455" applyFont="true" borderId="8" applyBorder="true" applyNumberFormat="true" numFmtId="2" fillId="22" applyFill="true">
      <alignment horizontal="center" vertical="center"/>
    </xf>
    <xf fontId="27456" applyFont="true" borderId="8" applyBorder="true" applyNumberFormat="true" numFmtId="2" fillId="22" applyFill="true">
      <alignment horizontal="center" vertical="center"/>
    </xf>
    <xf fontId="27457" applyFont="true" borderId="8" applyBorder="true" applyNumberFormat="true" numFmtId="2" fillId="22" applyFill="true">
      <alignment horizontal="center" vertical="center"/>
    </xf>
    <xf fontId="27458" applyFont="true" borderId="8" applyBorder="true" applyNumberFormat="true" numFmtId="2" fillId="22" applyFill="true">
      <alignment horizontal="center" vertical="center"/>
    </xf>
    <xf fontId="27459" applyFont="true" borderId="8" applyBorder="true" applyNumberFormat="true" numFmtId="165" fillId="19" applyFill="true">
      <alignment horizontal="left" vertical="center"/>
    </xf>
    <xf fontId="27460" applyFont="true" borderId="8" applyBorder="true" applyNumberFormat="true" numFmtId="165" fillId="22" applyFill="true">
      <alignment horizontal="center" vertical="center"/>
    </xf>
    <xf fontId="27461" applyFont="true" borderId="8" applyBorder="true" applyNumberFormat="true" numFmtId="166" fillId="22" applyFill="true">
      <alignment horizontal="center" vertical="center"/>
    </xf>
    <xf fontId="27462" applyFont="true" borderId="8" applyBorder="true" applyNumberFormat="true" numFmtId="1" fillId="22" applyFill="true">
      <alignment horizontal="center" vertical="center"/>
    </xf>
    <xf fontId="27463" applyFont="true" borderId="8" applyBorder="true" applyNumberFormat="true" numFmtId="1" fillId="22" applyFill="true">
      <alignment horizontal="center" vertical="center"/>
    </xf>
    <xf fontId="27464" applyFont="true" borderId="8" applyBorder="true" applyNumberFormat="true" numFmtId="1" fillId="22" applyFill="true">
      <alignment horizontal="center" vertical="center"/>
    </xf>
    <xf fontId="27465" applyFont="true" borderId="8" applyBorder="true" applyNumberFormat="true" numFmtId="1" fillId="22" applyFill="true">
      <alignment horizontal="center" vertical="center"/>
    </xf>
    <xf fontId="27466" applyFont="true" borderId="8" applyBorder="true" applyNumberFormat="true" numFmtId="1" fillId="22" applyFill="true">
      <alignment horizontal="center" vertical="center"/>
    </xf>
    <xf fontId="27467" applyFont="true" borderId="8" applyBorder="true" applyNumberFormat="true" numFmtId="1" fillId="22" applyFill="true">
      <alignment horizontal="center" vertical="center"/>
    </xf>
    <xf fontId="27468" applyFont="true" borderId="8" applyBorder="true" applyNumberFormat="true" numFmtId="1" fillId="22" applyFill="true">
      <alignment horizontal="center" vertical="center"/>
    </xf>
    <xf fontId="27469" applyFont="true" borderId="8" applyBorder="true" applyNumberFormat="true" numFmtId="165" fillId="22" applyFill="true">
      <alignment horizontal="center" vertical="center"/>
    </xf>
    <xf fontId="27470" applyFont="true" borderId="8" applyBorder="true" applyNumberFormat="true" numFmtId="165" fillId="22" applyFill="true">
      <alignment horizontal="center" vertical="center"/>
    </xf>
    <xf fontId="27471" applyFont="true" borderId="8" applyBorder="true" applyNumberFormat="true" numFmtId="1" fillId="22" applyFill="true">
      <alignment horizontal="center" vertical="center"/>
    </xf>
    <xf fontId="27472" applyFont="true" borderId="8" applyBorder="true" applyNumberFormat="true" numFmtId="1" fillId="22" applyFill="true">
      <alignment horizontal="center" vertical="center"/>
    </xf>
    <xf fontId="27473" applyFont="true" borderId="8" applyBorder="true" applyNumberFormat="true" numFmtId="1" fillId="22" applyFill="true">
      <alignment horizontal="center" vertical="center"/>
    </xf>
    <xf fontId="27474" applyFont="true" borderId="8" applyBorder="true" applyNumberFormat="true" numFmtId="167" fillId="22" applyFill="true">
      <alignment horizontal="center" vertical="center"/>
    </xf>
    <xf fontId="27475" applyFont="true" borderId="8" applyBorder="true" applyNumberFormat="true" numFmtId="1" fillId="22" applyFill="true">
      <alignment horizontal="center" vertical="center"/>
    </xf>
    <xf fontId="27476" applyFont="true" borderId="8" applyBorder="true" applyNumberFormat="true" numFmtId="167" fillId="22" applyFill="true">
      <alignment horizontal="center" vertical="center"/>
    </xf>
    <xf fontId="27477" applyFont="true" borderId="8" applyBorder="true" applyNumberFormat="true" numFmtId="1" fillId="22" applyFill="true">
      <alignment horizontal="center" vertical="center"/>
    </xf>
    <xf fontId="27478" applyFont="true" borderId="8" applyBorder="true" applyNumberFormat="true" numFmtId="167" fillId="22" applyFill="true">
      <alignment horizontal="center" vertical="center"/>
    </xf>
    <xf fontId="27479" applyFont="true" borderId="8" applyBorder="true" applyNumberFormat="true" numFmtId="1" fillId="22" applyFill="true">
      <alignment horizontal="center" vertical="center"/>
    </xf>
    <xf fontId="27480" applyFont="true" borderId="8" applyBorder="true" applyNumberFormat="true" numFmtId="167" fillId="22" applyFill="true">
      <alignment horizontal="center" vertical="center"/>
    </xf>
    <xf fontId="27481" applyFont="true" borderId="8" applyBorder="true" applyNumberFormat="true" numFmtId="167" fillId="22" applyFill="true">
      <alignment horizontal="center" vertical="center"/>
    </xf>
    <xf fontId="27482" applyFont="true" borderId="8" applyBorder="true" applyNumberFormat="true" numFmtId="1" fillId="22" applyFill="true">
      <alignment horizontal="center" vertical="center"/>
    </xf>
    <xf fontId="27483" applyFont="true" borderId="8" applyBorder="true" applyNumberFormat="true" numFmtId="1" fillId="22" applyFill="true">
      <alignment horizontal="center" vertical="center"/>
    </xf>
    <xf fontId="27484" applyFont="true" borderId="8" applyBorder="true" applyNumberFormat="true" numFmtId="1" fillId="22" applyFill="true">
      <alignment horizontal="center" vertical="center"/>
    </xf>
    <xf fontId="27485" applyFont="true" borderId="8" applyBorder="true" applyNumberFormat="true" numFmtId="167" fillId="22" applyFill="true">
      <alignment horizontal="center" vertical="center"/>
    </xf>
    <xf fontId="27486" applyFont="true" borderId="8" applyBorder="true" applyNumberFormat="true" numFmtId="166" fillId="22" applyFill="true">
      <alignment horizontal="center" vertical="center"/>
    </xf>
    <xf fontId="27487" applyFont="true" borderId="8" applyBorder="true" applyNumberFormat="true" numFmtId="166" fillId="22" applyFill="true">
      <alignment horizontal="center" vertical="center"/>
    </xf>
    <xf fontId="27488" applyFont="true" borderId="8" applyBorder="true" applyNumberFormat="true" numFmtId="1" fillId="22" applyFill="true">
      <alignment horizontal="center" vertical="center"/>
    </xf>
    <xf fontId="27489" applyFont="true" borderId="8" applyBorder="true" applyNumberFormat="true" numFmtId="1" fillId="22" applyFill="true">
      <alignment horizontal="center" vertical="center"/>
    </xf>
    <xf fontId="27490" applyFont="true" borderId="8" applyBorder="true" applyNumberFormat="true" numFmtId="1" fillId="22" applyFill="true">
      <alignment horizontal="center" vertical="center"/>
    </xf>
    <xf fontId="27491" applyFont="true" borderId="8" applyBorder="true" applyNumberFormat="true" numFmtId="167" fillId="22" applyFill="true">
      <alignment horizontal="center" vertical="center"/>
    </xf>
    <xf fontId="27492" applyFont="true" borderId="8" applyBorder="true" applyNumberFormat="true" numFmtId="1" fillId="22" applyFill="true">
      <alignment horizontal="center" vertical="center"/>
    </xf>
    <xf fontId="27493" applyFont="true" borderId="8" applyBorder="true" applyNumberFormat="true" numFmtId="167" fillId="22" applyFill="true">
      <alignment horizontal="center" vertical="center"/>
    </xf>
    <xf fontId="27494" applyFont="true" borderId="8" applyBorder="true" applyNumberFormat="true" numFmtId="1" fillId="22" applyFill="true">
      <alignment horizontal="center" vertical="center"/>
    </xf>
    <xf fontId="27495" applyFont="true" borderId="8" applyBorder="true" applyNumberFormat="true" numFmtId="1" fillId="22" applyFill="true">
      <alignment horizontal="center" vertical="center"/>
    </xf>
    <xf fontId="27496" applyFont="true" borderId="8" applyBorder="true" applyNumberFormat="true" numFmtId="1" fillId="22" applyFill="true">
      <alignment horizontal="center" vertical="center"/>
    </xf>
    <xf fontId="27497" applyFont="true" borderId="8" applyBorder="true" applyNumberFormat="true" numFmtId="1" fillId="22" applyFill="true">
      <alignment horizontal="center" vertical="center"/>
    </xf>
    <xf fontId="27498" applyFont="true" borderId="8" applyBorder="true" applyNumberFormat="true" numFmtId="167" fillId="22" applyFill="true">
      <alignment horizontal="center" vertical="center"/>
    </xf>
    <xf fontId="27499" applyFont="true" borderId="8" applyBorder="true" applyNumberFormat="true" numFmtId="1" fillId="22" applyFill="true">
      <alignment horizontal="center" vertical="center"/>
    </xf>
    <xf fontId="27500" applyFont="true" borderId="8" applyBorder="true" applyNumberFormat="true" numFmtId="167" fillId="22" applyFill="true">
      <alignment horizontal="center" vertical="center"/>
    </xf>
    <xf fontId="27501" applyFont="true" borderId="8" applyBorder="true" applyNumberFormat="true" numFmtId="1" fillId="22" applyFill="true">
      <alignment horizontal="center" vertical="center"/>
    </xf>
    <xf fontId="27502" applyFont="true" borderId="8" applyBorder="true" applyNumberFormat="true" numFmtId="167" fillId="22" applyFill="true">
      <alignment horizontal="center" vertical="center"/>
    </xf>
    <xf fontId="27503" applyFont="true" borderId="8" applyBorder="true" applyNumberFormat="true" numFmtId="2" fillId="22" applyFill="true">
      <alignment horizontal="center" vertical="center"/>
    </xf>
    <xf fontId="27504" applyFont="true" borderId="8" applyBorder="true" applyNumberFormat="true" numFmtId="2" fillId="22" applyFill="true">
      <alignment horizontal="center" vertical="center"/>
    </xf>
    <xf fontId="27505" applyFont="true" borderId="8" applyBorder="true" applyNumberFormat="true" numFmtId="2" fillId="22" applyFill="true">
      <alignment horizontal="center" vertical="center"/>
    </xf>
    <xf fontId="27506" applyFont="true" borderId="8" applyBorder="true" applyNumberFormat="true" numFmtId="2" fillId="22" applyFill="true">
      <alignment horizontal="center" vertical="center"/>
    </xf>
    <xf fontId="27507" applyFont="true" borderId="8" applyBorder="true" applyNumberFormat="true" numFmtId="2" fillId="22" applyFill="true">
      <alignment horizontal="center" vertical="center"/>
    </xf>
    <xf fontId="27508" applyFont="true" borderId="8" applyBorder="true" applyNumberFormat="true" numFmtId="2" fillId="22" applyFill="true">
      <alignment horizontal="center" vertical="center"/>
    </xf>
    <xf fontId="27509" applyFont="true" borderId="8" applyBorder="true" applyNumberFormat="true" numFmtId="2" fillId="22" applyFill="true">
      <alignment horizontal="center" vertical="center"/>
    </xf>
    <xf fontId="27510" applyFont="true" borderId="8" applyBorder="true" applyNumberFormat="true" numFmtId="2" fillId="22" applyFill="true">
      <alignment horizontal="center" vertical="center"/>
    </xf>
    <xf fontId="27511" applyFont="true" borderId="8" applyBorder="true" applyNumberFormat="true" numFmtId="2" fillId="22" applyFill="true">
      <alignment horizontal="center" vertical="center"/>
    </xf>
    <xf fontId="27512" applyFont="true" borderId="8" applyBorder="true" applyNumberFormat="true" numFmtId="2" fillId="22" applyFill="true">
      <alignment horizontal="center" vertical="center"/>
    </xf>
    <xf fontId="27513" applyFont="true" borderId="8" applyBorder="true" applyNumberFormat="true" numFmtId="2" fillId="22" applyFill="true">
      <alignment horizontal="center" vertical="center"/>
    </xf>
    <xf fontId="27514" applyFont="true" borderId="8" applyBorder="true" applyNumberFormat="true" numFmtId="2" fillId="22" applyFill="true">
      <alignment horizontal="center" vertical="center"/>
    </xf>
    <xf fontId="27515" applyFont="true" borderId="8" applyBorder="true" applyNumberFormat="true" numFmtId="2" fillId="22" applyFill="true">
      <alignment horizontal="center" vertical="center"/>
    </xf>
    <xf fontId="27516" applyFont="true" borderId="8" applyBorder="true" applyNumberFormat="true" numFmtId="2" fillId="22" applyFill="true">
      <alignment horizontal="center" vertical="center"/>
    </xf>
    <xf fontId="27517" applyFont="true" borderId="8" applyBorder="true" applyNumberFormat="true" numFmtId="2" fillId="22" applyFill="true">
      <alignment horizontal="center" vertical="center"/>
    </xf>
    <xf fontId="27518" applyFont="true" borderId="8" applyBorder="true" applyNumberFormat="true" numFmtId="2" fillId="22" applyFill="true">
      <alignment horizontal="center" vertical="center"/>
    </xf>
    <xf fontId="27519" applyFont="true" borderId="8" applyBorder="true" applyNumberFormat="true" numFmtId="2" fillId="22" applyFill="true">
      <alignment horizontal="center" vertical="center"/>
    </xf>
    <xf fontId="27520" applyFont="true" borderId="8" applyBorder="true" applyNumberFormat="true" numFmtId="2" fillId="22" applyFill="true">
      <alignment horizontal="center" vertical="center"/>
    </xf>
    <xf fontId="27521" applyFont="true" borderId="8" applyBorder="true" applyNumberFormat="true" numFmtId="2" fillId="22" applyFill="true">
      <alignment horizontal="center" vertical="center"/>
    </xf>
    <xf fontId="27522" applyFont="true" borderId="8" applyBorder="true" applyNumberFormat="true" numFmtId="2" fillId="22" applyFill="true">
      <alignment horizontal="center" vertical="center"/>
    </xf>
    <xf fontId="27523" applyFont="true" borderId="8" applyBorder="true" applyNumberFormat="true" numFmtId="2" fillId="22" applyFill="true">
      <alignment horizontal="center" vertical="center"/>
    </xf>
    <xf fontId="27524" applyFont="true" borderId="8" applyBorder="true" applyNumberFormat="true" numFmtId="2" fillId="22" applyFill="true">
      <alignment horizontal="center" vertical="center"/>
    </xf>
    <xf fontId="27525" applyFont="true" borderId="8" applyBorder="true" applyNumberFormat="true" numFmtId="2" fillId="22" applyFill="true">
      <alignment horizontal="center" vertical="center"/>
    </xf>
    <xf fontId="27526" applyFont="true" borderId="8" applyBorder="true" applyNumberFormat="true" numFmtId="2" fillId="22" applyFill="true">
      <alignment horizontal="center" vertical="center"/>
    </xf>
    <xf fontId="27527" applyFont="true" borderId="8" applyBorder="true" applyNumberFormat="true" numFmtId="2" fillId="22" applyFill="true">
      <alignment horizontal="center" vertical="center"/>
    </xf>
    <xf fontId="27528" applyFont="true" borderId="8" applyBorder="true" applyNumberFormat="true" numFmtId="2" fillId="22" applyFill="true">
      <alignment horizontal="center" vertical="center"/>
    </xf>
    <xf fontId="27529" applyFont="true" borderId="8" applyBorder="true" applyNumberFormat="true" numFmtId="2" fillId="22" applyFill="true">
      <alignment horizontal="center" vertical="center"/>
    </xf>
    <xf fontId="27530" applyFont="true" borderId="8" applyBorder="true" applyNumberFormat="true" numFmtId="2" fillId="22" applyFill="true">
      <alignment horizontal="center" vertical="center"/>
    </xf>
    <xf fontId="27531" applyFont="true" borderId="8" applyBorder="true" applyNumberFormat="true" numFmtId="2" fillId="22" applyFill="true">
      <alignment horizontal="center" vertical="center"/>
    </xf>
    <xf fontId="27532" applyFont="true" borderId="8" applyBorder="true" applyNumberFormat="true" numFmtId="2" fillId="22" applyFill="true">
      <alignment horizontal="center" vertical="center"/>
    </xf>
    <xf fontId="27533" applyFont="true" borderId="8" applyBorder="true" applyNumberFormat="true" numFmtId="2" fillId="22" applyFill="true">
      <alignment horizontal="center" vertical="center"/>
    </xf>
    <xf fontId="27534" applyFont="true" borderId="8" applyBorder="true" applyNumberFormat="true" numFmtId="2" fillId="22" applyFill="true">
      <alignment horizontal="center" vertical="center"/>
    </xf>
    <xf fontId="27535" applyFont="true" borderId="8" applyBorder="true" applyNumberFormat="true" numFmtId="2" fillId="22" applyFill="true">
      <alignment horizontal="center" vertical="center"/>
    </xf>
    <xf fontId="27536" applyFont="true" borderId="8" applyBorder="true" applyNumberFormat="true" numFmtId="2" fillId="22" applyFill="true">
      <alignment horizontal="center" vertical="center"/>
    </xf>
    <xf fontId="27537" applyFont="true" borderId="8" applyBorder="true" applyNumberFormat="true" numFmtId="165" fillId="19" applyFill="true">
      <alignment horizontal="left" vertical="center"/>
    </xf>
    <xf fontId="27538" applyFont="true" borderId="8" applyBorder="true" applyNumberFormat="true" numFmtId="165" fillId="22" applyFill="true">
      <alignment horizontal="center" vertical="center"/>
    </xf>
    <xf fontId="27539" applyFont="true" borderId="8" applyBorder="true" applyNumberFormat="true" numFmtId="166" fillId="22" applyFill="true">
      <alignment horizontal="center" vertical="center"/>
    </xf>
    <xf fontId="27540" applyFont="true" borderId="8" applyBorder="true" applyNumberFormat="true" numFmtId="1" fillId="22" applyFill="true">
      <alignment horizontal="center" vertical="center"/>
    </xf>
    <xf fontId="27541" applyFont="true" borderId="8" applyBorder="true" applyNumberFormat="true" numFmtId="1" fillId="22" applyFill="true">
      <alignment horizontal="center" vertical="center"/>
    </xf>
    <xf fontId="27542" applyFont="true" borderId="8" applyBorder="true" applyNumberFormat="true" numFmtId="1" fillId="22" applyFill="true">
      <alignment horizontal="center" vertical="center"/>
    </xf>
    <xf fontId="27543" applyFont="true" borderId="8" applyBorder="true" applyNumberFormat="true" numFmtId="1" fillId="22" applyFill="true">
      <alignment horizontal="center" vertical="center"/>
    </xf>
    <xf fontId="27544" applyFont="true" borderId="8" applyBorder="true" applyNumberFormat="true" numFmtId="1" fillId="22" applyFill="true">
      <alignment horizontal="center" vertical="center"/>
    </xf>
    <xf fontId="27545" applyFont="true" borderId="8" applyBorder="true" applyNumberFormat="true" numFmtId="1" fillId="22" applyFill="true">
      <alignment horizontal="center" vertical="center"/>
    </xf>
    <xf fontId="27546" applyFont="true" borderId="8" applyBorder="true" applyNumberFormat="true" numFmtId="1" fillId="22" applyFill="true">
      <alignment horizontal="center" vertical="center"/>
    </xf>
    <xf fontId="27547" applyFont="true" borderId="8" applyBorder="true" applyNumberFormat="true" numFmtId="165" fillId="22" applyFill="true">
      <alignment horizontal="center" vertical="center"/>
    </xf>
    <xf fontId="27548" applyFont="true" borderId="8" applyBorder="true" applyNumberFormat="true" numFmtId="165" fillId="22" applyFill="true">
      <alignment horizontal="center" vertical="center"/>
    </xf>
    <xf fontId="27549" applyFont="true" borderId="8" applyBorder="true" applyNumberFormat="true" numFmtId="1" fillId="22" applyFill="true">
      <alignment horizontal="center" vertical="center"/>
    </xf>
    <xf fontId="27550" applyFont="true" borderId="8" applyBorder="true" applyNumberFormat="true" numFmtId="1" fillId="22" applyFill="true">
      <alignment horizontal="center" vertical="center"/>
    </xf>
    <xf fontId="27551" applyFont="true" borderId="8" applyBorder="true" applyNumberFormat="true" numFmtId="1" fillId="22" applyFill="true">
      <alignment horizontal="center" vertical="center"/>
    </xf>
    <xf fontId="27552" applyFont="true" borderId="8" applyBorder="true" applyNumberFormat="true" numFmtId="167" fillId="22" applyFill="true">
      <alignment horizontal="center" vertical="center"/>
    </xf>
    <xf fontId="27553" applyFont="true" borderId="8" applyBorder="true" applyNumberFormat="true" numFmtId="1" fillId="22" applyFill="true">
      <alignment horizontal="center" vertical="center"/>
    </xf>
    <xf fontId="27554" applyFont="true" borderId="8" applyBorder="true" applyNumberFormat="true" numFmtId="167" fillId="22" applyFill="true">
      <alignment horizontal="center" vertical="center"/>
    </xf>
    <xf fontId="27555" applyFont="true" borderId="8" applyBorder="true" applyNumberFormat="true" numFmtId="1" fillId="22" applyFill="true">
      <alignment horizontal="center" vertical="center"/>
    </xf>
    <xf fontId="27556" applyFont="true" borderId="8" applyBorder="true" applyNumberFormat="true" numFmtId="167" fillId="22" applyFill="true">
      <alignment horizontal="center" vertical="center"/>
    </xf>
    <xf fontId="27557" applyFont="true" borderId="8" applyBorder="true" applyNumberFormat="true" numFmtId="1" fillId="22" applyFill="true">
      <alignment horizontal="center" vertical="center"/>
    </xf>
    <xf fontId="27558" applyFont="true" borderId="8" applyBorder="true" applyNumberFormat="true" numFmtId="167" fillId="22" applyFill="true">
      <alignment horizontal="center" vertical="center"/>
    </xf>
    <xf fontId="27559" applyFont="true" borderId="8" applyBorder="true" applyNumberFormat="true" numFmtId="167" fillId="22" applyFill="true">
      <alignment horizontal="center" vertical="center"/>
    </xf>
    <xf fontId="27560" applyFont="true" borderId="8" applyBorder="true" applyNumberFormat="true" numFmtId="1" fillId="22" applyFill="true">
      <alignment horizontal="center" vertical="center"/>
    </xf>
    <xf fontId="27561" applyFont="true" borderId="8" applyBorder="true" applyNumberFormat="true" numFmtId="1" fillId="22" applyFill="true">
      <alignment horizontal="center" vertical="center"/>
    </xf>
    <xf fontId="27562" applyFont="true" borderId="8" applyBorder="true" applyNumberFormat="true" numFmtId="1" fillId="22" applyFill="true">
      <alignment horizontal="center" vertical="center"/>
    </xf>
    <xf fontId="27563" applyFont="true" borderId="8" applyBorder="true" applyNumberFormat="true" numFmtId="167" fillId="22" applyFill="true">
      <alignment horizontal="center" vertical="center"/>
    </xf>
    <xf fontId="27564" applyFont="true" borderId="8" applyBorder="true" applyNumberFormat="true" numFmtId="166" fillId="22" applyFill="true">
      <alignment horizontal="center" vertical="center"/>
    </xf>
    <xf fontId="27565" applyFont="true" borderId="8" applyBorder="true" applyNumberFormat="true" numFmtId="166" fillId="22" applyFill="true">
      <alignment horizontal="center" vertical="center"/>
    </xf>
    <xf fontId="27566" applyFont="true" borderId="8" applyBorder="true" applyNumberFormat="true" numFmtId="1" fillId="22" applyFill="true">
      <alignment horizontal="center" vertical="center"/>
    </xf>
    <xf fontId="27567" applyFont="true" borderId="8" applyBorder="true" applyNumberFormat="true" numFmtId="1" fillId="22" applyFill="true">
      <alignment horizontal="center" vertical="center"/>
    </xf>
    <xf fontId="27568" applyFont="true" borderId="8" applyBorder="true" applyNumberFormat="true" numFmtId="1" fillId="22" applyFill="true">
      <alignment horizontal="center" vertical="center"/>
    </xf>
    <xf fontId="27569" applyFont="true" borderId="8" applyBorder="true" applyNumberFormat="true" numFmtId="167" fillId="22" applyFill="true">
      <alignment horizontal="center" vertical="center"/>
    </xf>
    <xf fontId="27570" applyFont="true" borderId="8" applyBorder="true" applyNumberFormat="true" numFmtId="1" fillId="22" applyFill="true">
      <alignment horizontal="center" vertical="center"/>
    </xf>
    <xf fontId="27571" applyFont="true" borderId="8" applyBorder="true" applyNumberFormat="true" numFmtId="167" fillId="22" applyFill="true">
      <alignment horizontal="center" vertical="center"/>
    </xf>
    <xf fontId="27572" applyFont="true" borderId="8" applyBorder="true" applyNumberFormat="true" numFmtId="1" fillId="22" applyFill="true">
      <alignment horizontal="center" vertical="center"/>
    </xf>
    <xf fontId="27573" applyFont="true" borderId="8" applyBorder="true" applyNumberFormat="true" numFmtId="1" fillId="22" applyFill="true">
      <alignment horizontal="center" vertical="center"/>
    </xf>
    <xf fontId="27574" applyFont="true" borderId="8" applyBorder="true" applyNumberFormat="true" numFmtId="1" fillId="22" applyFill="true">
      <alignment horizontal="center" vertical="center"/>
    </xf>
    <xf fontId="27575" applyFont="true" borderId="8" applyBorder="true" applyNumberFormat="true" numFmtId="1" fillId="22" applyFill="true">
      <alignment horizontal="center" vertical="center"/>
    </xf>
    <xf fontId="27576" applyFont="true" borderId="8" applyBorder="true" applyNumberFormat="true" numFmtId="167" fillId="22" applyFill="true">
      <alignment horizontal="center" vertical="center"/>
    </xf>
    <xf fontId="27577" applyFont="true" borderId="8" applyBorder="true" applyNumberFormat="true" numFmtId="1" fillId="22" applyFill="true">
      <alignment horizontal="center" vertical="center"/>
    </xf>
    <xf fontId="27578" applyFont="true" borderId="8" applyBorder="true" applyNumberFormat="true" numFmtId="167" fillId="22" applyFill="true">
      <alignment horizontal="center" vertical="center"/>
    </xf>
    <xf fontId="27579" applyFont="true" borderId="8" applyBorder="true" applyNumberFormat="true" numFmtId="1" fillId="22" applyFill="true">
      <alignment horizontal="center" vertical="center"/>
    </xf>
    <xf fontId="27580" applyFont="true" borderId="8" applyBorder="true" applyNumberFormat="true" numFmtId="167" fillId="22" applyFill="true">
      <alignment horizontal="center" vertical="center"/>
    </xf>
    <xf fontId="27581" applyFont="true" borderId="8" applyBorder="true" applyNumberFormat="true" numFmtId="2" fillId="22" applyFill="true">
      <alignment horizontal="center" vertical="center"/>
    </xf>
    <xf fontId="27582" applyFont="true" borderId="8" applyBorder="true" applyNumberFormat="true" numFmtId="2" fillId="22" applyFill="true">
      <alignment horizontal="center" vertical="center"/>
    </xf>
    <xf fontId="27583" applyFont="true" borderId="8" applyBorder="true" applyNumberFormat="true" numFmtId="2" fillId="22" applyFill="true">
      <alignment horizontal="center" vertical="center"/>
    </xf>
    <xf fontId="27584" applyFont="true" borderId="8" applyBorder="true" applyNumberFormat="true" numFmtId="2" fillId="22" applyFill="true">
      <alignment horizontal="center" vertical="center"/>
    </xf>
    <xf fontId="27585" applyFont="true" borderId="8" applyBorder="true" applyNumberFormat="true" numFmtId="2" fillId="22" applyFill="true">
      <alignment horizontal="center" vertical="center"/>
    </xf>
    <xf fontId="27586" applyFont="true" borderId="8" applyBorder="true" applyNumberFormat="true" numFmtId="2" fillId="22" applyFill="true">
      <alignment horizontal="center" vertical="center"/>
    </xf>
    <xf fontId="27587" applyFont="true" borderId="8" applyBorder="true" applyNumberFormat="true" numFmtId="2" fillId="22" applyFill="true">
      <alignment horizontal="center" vertical="center"/>
    </xf>
    <xf fontId="27588" applyFont="true" borderId="8" applyBorder="true" applyNumberFormat="true" numFmtId="2" fillId="22" applyFill="true">
      <alignment horizontal="center" vertical="center"/>
    </xf>
    <xf fontId="27589" applyFont="true" borderId="8" applyBorder="true" applyNumberFormat="true" numFmtId="2" fillId="22" applyFill="true">
      <alignment horizontal="center" vertical="center"/>
    </xf>
    <xf fontId="27590" applyFont="true" borderId="8" applyBorder="true" applyNumberFormat="true" numFmtId="2" fillId="22" applyFill="true">
      <alignment horizontal="center" vertical="center"/>
    </xf>
    <xf fontId="27591" applyFont="true" borderId="8" applyBorder="true" applyNumberFormat="true" numFmtId="2" fillId="22" applyFill="true">
      <alignment horizontal="center" vertical="center"/>
    </xf>
    <xf fontId="27592" applyFont="true" borderId="8" applyBorder="true" applyNumberFormat="true" numFmtId="2" fillId="22" applyFill="true">
      <alignment horizontal="center" vertical="center"/>
    </xf>
    <xf fontId="27593" applyFont="true" borderId="8" applyBorder="true" applyNumberFormat="true" numFmtId="2" fillId="22" applyFill="true">
      <alignment horizontal="center" vertical="center"/>
    </xf>
    <xf fontId="27594" applyFont="true" borderId="8" applyBorder="true" applyNumberFormat="true" numFmtId="2" fillId="22" applyFill="true">
      <alignment horizontal="center" vertical="center"/>
    </xf>
    <xf fontId="27595" applyFont="true" borderId="8" applyBorder="true" applyNumberFormat="true" numFmtId="2" fillId="22" applyFill="true">
      <alignment horizontal="center" vertical="center"/>
    </xf>
    <xf fontId="27596" applyFont="true" borderId="8" applyBorder="true" applyNumberFormat="true" numFmtId="2" fillId="22" applyFill="true">
      <alignment horizontal="center" vertical="center"/>
    </xf>
    <xf fontId="27597" applyFont="true" borderId="8" applyBorder="true" applyNumberFormat="true" numFmtId="2" fillId="22" applyFill="true">
      <alignment horizontal="center" vertical="center"/>
    </xf>
    <xf fontId="27598" applyFont="true" borderId="8" applyBorder="true" applyNumberFormat="true" numFmtId="2" fillId="22" applyFill="true">
      <alignment horizontal="center" vertical="center"/>
    </xf>
    <xf fontId="27599" applyFont="true" borderId="8" applyBorder="true" applyNumberFormat="true" numFmtId="2" fillId="22" applyFill="true">
      <alignment horizontal="center" vertical="center"/>
    </xf>
    <xf fontId="27600" applyFont="true" borderId="8" applyBorder="true" applyNumberFormat="true" numFmtId="2" fillId="22" applyFill="true">
      <alignment horizontal="center" vertical="center"/>
    </xf>
    <xf fontId="27601" applyFont="true" borderId="8" applyBorder="true" applyNumberFormat="true" numFmtId="2" fillId="22" applyFill="true">
      <alignment horizontal="center" vertical="center"/>
    </xf>
    <xf fontId="27602" applyFont="true" borderId="8" applyBorder="true" applyNumberFormat="true" numFmtId="2" fillId="22" applyFill="true">
      <alignment horizontal="center" vertical="center"/>
    </xf>
    <xf fontId="27603" applyFont="true" borderId="8" applyBorder="true" applyNumberFormat="true" numFmtId="2" fillId="22" applyFill="true">
      <alignment horizontal="center" vertical="center"/>
    </xf>
    <xf fontId="27604" applyFont="true" borderId="8" applyBorder="true" applyNumberFormat="true" numFmtId="2" fillId="22" applyFill="true">
      <alignment horizontal="center" vertical="center"/>
    </xf>
    <xf fontId="27605" applyFont="true" borderId="8" applyBorder="true" applyNumberFormat="true" numFmtId="2" fillId="22" applyFill="true">
      <alignment horizontal="center" vertical="center"/>
    </xf>
    <xf fontId="27606" applyFont="true" borderId="8" applyBorder="true" applyNumberFormat="true" numFmtId="2" fillId="22" applyFill="true">
      <alignment horizontal="center" vertical="center"/>
    </xf>
    <xf fontId="27607" applyFont="true" borderId="8" applyBorder="true" applyNumberFormat="true" numFmtId="2" fillId="22" applyFill="true">
      <alignment horizontal="center" vertical="center"/>
    </xf>
    <xf fontId="27608" applyFont="true" borderId="8" applyBorder="true" applyNumberFormat="true" numFmtId="2" fillId="22" applyFill="true">
      <alignment horizontal="center" vertical="center"/>
    </xf>
    <xf fontId="27609" applyFont="true" borderId="8" applyBorder="true" applyNumberFormat="true" numFmtId="2" fillId="22" applyFill="true">
      <alignment horizontal="center" vertical="center"/>
    </xf>
    <xf fontId="27610" applyFont="true" borderId="8" applyBorder="true" applyNumberFormat="true" numFmtId="2" fillId="22" applyFill="true">
      <alignment horizontal="center" vertical="center"/>
    </xf>
    <xf fontId="27611" applyFont="true" borderId="8" applyBorder="true" applyNumberFormat="true" numFmtId="2" fillId="22" applyFill="true">
      <alignment horizontal="center" vertical="center"/>
    </xf>
    <xf fontId="27612" applyFont="true" borderId="8" applyBorder="true" applyNumberFormat="true" numFmtId="2" fillId="22" applyFill="true">
      <alignment horizontal="center" vertical="center"/>
    </xf>
    <xf fontId="27613" applyFont="true" borderId="8" applyBorder="true" applyNumberFormat="true" numFmtId="2" fillId="22" applyFill="true">
      <alignment horizontal="center" vertical="center"/>
    </xf>
    <xf fontId="27614" applyFont="true" borderId="8" applyBorder="true" applyNumberFormat="true" numFmtId="2" fillId="22" applyFill="true">
      <alignment horizontal="center" vertical="center"/>
    </xf>
    <xf fontId="27615" applyFont="true" borderId="8" applyBorder="true" applyNumberFormat="true" numFmtId="165" fillId="19" applyFill="true">
      <alignment horizontal="left" vertical="center"/>
    </xf>
    <xf fontId="27616" applyFont="true" borderId="8" applyBorder="true" applyNumberFormat="true" numFmtId="165" fillId="22" applyFill="true">
      <alignment horizontal="center" vertical="center"/>
    </xf>
    <xf fontId="27617" applyFont="true" borderId="8" applyBorder="true" applyNumberFormat="true" numFmtId="166" fillId="22" applyFill="true">
      <alignment horizontal="center" vertical="center"/>
    </xf>
    <xf fontId="27618" applyFont="true" borderId="8" applyBorder="true" applyNumberFormat="true" numFmtId="1" fillId="22" applyFill="true">
      <alignment horizontal="center" vertical="center"/>
    </xf>
    <xf fontId="27619" applyFont="true" borderId="8" applyBorder="true" applyNumberFormat="true" numFmtId="1" fillId="22" applyFill="true">
      <alignment horizontal="center" vertical="center"/>
    </xf>
    <xf fontId="27620" applyFont="true" borderId="8" applyBorder="true" applyNumberFormat="true" numFmtId="1" fillId="22" applyFill="true">
      <alignment horizontal="center" vertical="center"/>
    </xf>
    <xf fontId="27621" applyFont="true" borderId="8" applyBorder="true" applyNumberFormat="true" numFmtId="1" fillId="22" applyFill="true">
      <alignment horizontal="center" vertical="center"/>
    </xf>
    <xf fontId="27622" applyFont="true" borderId="8" applyBorder="true" applyNumberFormat="true" numFmtId="1" fillId="22" applyFill="true">
      <alignment horizontal="center" vertical="center"/>
    </xf>
    <xf fontId="27623" applyFont="true" borderId="8" applyBorder="true" applyNumberFormat="true" numFmtId="1" fillId="22" applyFill="true">
      <alignment horizontal="center" vertical="center"/>
    </xf>
    <xf fontId="27624" applyFont="true" borderId="8" applyBorder="true" applyNumberFormat="true" numFmtId="1" fillId="22" applyFill="true">
      <alignment horizontal="center" vertical="center"/>
    </xf>
    <xf fontId="27625" applyFont="true" borderId="8" applyBorder="true" applyNumberFormat="true" numFmtId="165" fillId="22" applyFill="true">
      <alignment horizontal="center" vertical="center"/>
    </xf>
    <xf fontId="27626" applyFont="true" borderId="8" applyBorder="true" applyNumberFormat="true" numFmtId="165" fillId="22" applyFill="true">
      <alignment horizontal="center" vertical="center"/>
    </xf>
    <xf fontId="27627" applyFont="true" borderId="8" applyBorder="true" applyNumberFormat="true" numFmtId="1" fillId="22" applyFill="true">
      <alignment horizontal="center" vertical="center"/>
    </xf>
    <xf fontId="27628" applyFont="true" borderId="8" applyBorder="true" applyNumberFormat="true" numFmtId="1" fillId="22" applyFill="true">
      <alignment horizontal="center" vertical="center"/>
    </xf>
    <xf fontId="27629" applyFont="true" borderId="8" applyBorder="true" applyNumberFormat="true" numFmtId="1" fillId="22" applyFill="true">
      <alignment horizontal="center" vertical="center"/>
    </xf>
    <xf fontId="27630" applyFont="true" borderId="8" applyBorder="true" applyNumberFormat="true" numFmtId="167" fillId="22" applyFill="true">
      <alignment horizontal="center" vertical="center"/>
    </xf>
    <xf fontId="27631" applyFont="true" borderId="8" applyBorder="true" applyNumberFormat="true" numFmtId="1" fillId="22" applyFill="true">
      <alignment horizontal="center" vertical="center"/>
    </xf>
    <xf fontId="27632" applyFont="true" borderId="8" applyBorder="true" applyNumberFormat="true" numFmtId="167" fillId="22" applyFill="true">
      <alignment horizontal="center" vertical="center"/>
    </xf>
    <xf fontId="27633" applyFont="true" borderId="8" applyBorder="true" applyNumberFormat="true" numFmtId="1" fillId="22" applyFill="true">
      <alignment horizontal="center" vertical="center"/>
    </xf>
    <xf fontId="27634" applyFont="true" borderId="8" applyBorder="true" applyNumberFormat="true" numFmtId="167" fillId="22" applyFill="true">
      <alignment horizontal="center" vertical="center"/>
    </xf>
    <xf fontId="27635" applyFont="true" borderId="8" applyBorder="true" applyNumberFormat="true" numFmtId="1" fillId="22" applyFill="true">
      <alignment horizontal="center" vertical="center"/>
    </xf>
    <xf fontId="27636" applyFont="true" borderId="8" applyBorder="true" applyNumberFormat="true" numFmtId="167" fillId="22" applyFill="true">
      <alignment horizontal="center" vertical="center"/>
    </xf>
    <xf fontId="27637" applyFont="true" borderId="8" applyBorder="true" applyNumberFormat="true" numFmtId="167" fillId="22" applyFill="true">
      <alignment horizontal="center" vertical="center"/>
    </xf>
    <xf fontId="27638" applyFont="true" borderId="8" applyBorder="true" applyNumberFormat="true" numFmtId="1" fillId="22" applyFill="true">
      <alignment horizontal="center" vertical="center"/>
    </xf>
    <xf fontId="27639" applyFont="true" borderId="8" applyBorder="true" applyNumberFormat="true" numFmtId="1" fillId="22" applyFill="true">
      <alignment horizontal="center" vertical="center"/>
    </xf>
    <xf fontId="27640" applyFont="true" borderId="8" applyBorder="true" applyNumberFormat="true" numFmtId="1" fillId="22" applyFill="true">
      <alignment horizontal="center" vertical="center"/>
    </xf>
    <xf fontId="27641" applyFont="true" borderId="8" applyBorder="true" applyNumberFormat="true" numFmtId="167" fillId="22" applyFill="true">
      <alignment horizontal="center" vertical="center"/>
    </xf>
    <xf fontId="27642" applyFont="true" borderId="8" applyBorder="true" applyNumberFormat="true" numFmtId="166" fillId="22" applyFill="true">
      <alignment horizontal="center" vertical="center"/>
    </xf>
    <xf fontId="27643" applyFont="true" borderId="8" applyBorder="true" applyNumberFormat="true" numFmtId="166" fillId="22" applyFill="true">
      <alignment horizontal="center" vertical="center"/>
    </xf>
    <xf fontId="27644" applyFont="true" borderId="8" applyBorder="true" applyNumberFormat="true" numFmtId="1" fillId="22" applyFill="true">
      <alignment horizontal="center" vertical="center"/>
    </xf>
    <xf fontId="27645" applyFont="true" borderId="8" applyBorder="true" applyNumberFormat="true" numFmtId="1" fillId="22" applyFill="true">
      <alignment horizontal="center" vertical="center"/>
    </xf>
    <xf fontId="27646" applyFont="true" borderId="8" applyBorder="true" applyNumberFormat="true" numFmtId="1" fillId="22" applyFill="true">
      <alignment horizontal="center" vertical="center"/>
    </xf>
    <xf fontId="27647" applyFont="true" borderId="8" applyBorder="true" applyNumberFormat="true" numFmtId="167" fillId="22" applyFill="true">
      <alignment horizontal="center" vertical="center"/>
    </xf>
    <xf fontId="27648" applyFont="true" borderId="8" applyBorder="true" applyNumberFormat="true" numFmtId="1" fillId="22" applyFill="true">
      <alignment horizontal="center" vertical="center"/>
    </xf>
    <xf fontId="27649" applyFont="true" borderId="8" applyBorder="true" applyNumberFormat="true" numFmtId="167" fillId="22" applyFill="true">
      <alignment horizontal="center" vertical="center"/>
    </xf>
    <xf fontId="27650" applyFont="true" borderId="8" applyBorder="true" applyNumberFormat="true" numFmtId="1" fillId="22" applyFill="true">
      <alignment horizontal="center" vertical="center"/>
    </xf>
    <xf fontId="27651" applyFont="true" borderId="8" applyBorder="true" applyNumberFormat="true" numFmtId="1" fillId="22" applyFill="true">
      <alignment horizontal="center" vertical="center"/>
    </xf>
    <xf fontId="27652" applyFont="true" borderId="8" applyBorder="true" applyNumberFormat="true" numFmtId="1" fillId="22" applyFill="true">
      <alignment horizontal="center" vertical="center"/>
    </xf>
    <xf fontId="27653" applyFont="true" borderId="8" applyBorder="true" applyNumberFormat="true" numFmtId="1" fillId="22" applyFill="true">
      <alignment horizontal="center" vertical="center"/>
    </xf>
    <xf fontId="27654" applyFont="true" borderId="8" applyBorder="true" applyNumberFormat="true" numFmtId="167" fillId="22" applyFill="true">
      <alignment horizontal="center" vertical="center"/>
    </xf>
    <xf fontId="27655" applyFont="true" borderId="8" applyBorder="true" applyNumberFormat="true" numFmtId="1" fillId="22" applyFill="true">
      <alignment horizontal="center" vertical="center"/>
    </xf>
    <xf fontId="27656" applyFont="true" borderId="8" applyBorder="true" applyNumberFormat="true" numFmtId="167" fillId="22" applyFill="true">
      <alignment horizontal="center" vertical="center"/>
    </xf>
    <xf fontId="27657" applyFont="true" borderId="8" applyBorder="true" applyNumberFormat="true" numFmtId="1" fillId="22" applyFill="true">
      <alignment horizontal="center" vertical="center"/>
    </xf>
    <xf fontId="27658" applyFont="true" borderId="8" applyBorder="true" applyNumberFormat="true" numFmtId="167" fillId="22" applyFill="true">
      <alignment horizontal="center" vertical="center"/>
    </xf>
    <xf fontId="27659" applyFont="true" borderId="8" applyBorder="true" applyNumberFormat="true" numFmtId="2" fillId="22" applyFill="true">
      <alignment horizontal="center" vertical="center"/>
    </xf>
    <xf fontId="27660" applyFont="true" borderId="8" applyBorder="true" applyNumberFormat="true" numFmtId="2" fillId="22" applyFill="true">
      <alignment horizontal="center" vertical="center"/>
    </xf>
    <xf fontId="27661" applyFont="true" borderId="8" applyBorder="true" applyNumberFormat="true" numFmtId="2" fillId="22" applyFill="true">
      <alignment horizontal="center" vertical="center"/>
    </xf>
    <xf fontId="27662" applyFont="true" borderId="8" applyBorder="true" applyNumberFormat="true" numFmtId="2" fillId="22" applyFill="true">
      <alignment horizontal="center" vertical="center"/>
    </xf>
    <xf fontId="27663" applyFont="true" borderId="8" applyBorder="true" applyNumberFormat="true" numFmtId="2" fillId="22" applyFill="true">
      <alignment horizontal="center" vertical="center"/>
    </xf>
    <xf fontId="27664" applyFont="true" borderId="8" applyBorder="true" applyNumberFormat="true" numFmtId="2" fillId="22" applyFill="true">
      <alignment horizontal="center" vertical="center"/>
    </xf>
    <xf fontId="27665" applyFont="true" borderId="8" applyBorder="true" applyNumberFormat="true" numFmtId="2" fillId="22" applyFill="true">
      <alignment horizontal="center" vertical="center"/>
    </xf>
    <xf fontId="27666" applyFont="true" borderId="8" applyBorder="true" applyNumberFormat="true" numFmtId="2" fillId="22" applyFill="true">
      <alignment horizontal="center" vertical="center"/>
    </xf>
    <xf fontId="27667" applyFont="true" borderId="8" applyBorder="true" applyNumberFormat="true" numFmtId="2" fillId="22" applyFill="true">
      <alignment horizontal="center" vertical="center"/>
    </xf>
    <xf fontId="27668" applyFont="true" borderId="8" applyBorder="true" applyNumberFormat="true" numFmtId="2" fillId="22" applyFill="true">
      <alignment horizontal="center" vertical="center"/>
    </xf>
    <xf fontId="27669" applyFont="true" borderId="8" applyBorder="true" applyNumberFormat="true" numFmtId="2" fillId="22" applyFill="true">
      <alignment horizontal="center" vertical="center"/>
    </xf>
    <xf fontId="27670" applyFont="true" borderId="8" applyBorder="true" applyNumberFormat="true" numFmtId="2" fillId="22" applyFill="true">
      <alignment horizontal="center" vertical="center"/>
    </xf>
    <xf fontId="27671" applyFont="true" borderId="8" applyBorder="true" applyNumberFormat="true" numFmtId="2" fillId="22" applyFill="true">
      <alignment horizontal="center" vertical="center"/>
    </xf>
    <xf fontId="27672" applyFont="true" borderId="8" applyBorder="true" applyNumberFormat="true" numFmtId="2" fillId="22" applyFill="true">
      <alignment horizontal="center" vertical="center"/>
    </xf>
    <xf fontId="27673" applyFont="true" borderId="8" applyBorder="true" applyNumberFormat="true" numFmtId="2" fillId="22" applyFill="true">
      <alignment horizontal="center" vertical="center"/>
    </xf>
    <xf fontId="27674" applyFont="true" borderId="8" applyBorder="true" applyNumberFormat="true" numFmtId="2" fillId="22" applyFill="true">
      <alignment horizontal="center" vertical="center"/>
    </xf>
    <xf fontId="27675" applyFont="true" borderId="8" applyBorder="true" applyNumberFormat="true" numFmtId="2" fillId="22" applyFill="true">
      <alignment horizontal="center" vertical="center"/>
    </xf>
    <xf fontId="27676" applyFont="true" borderId="8" applyBorder="true" applyNumberFormat="true" numFmtId="2" fillId="22" applyFill="true">
      <alignment horizontal="center" vertical="center"/>
    </xf>
    <xf fontId="27677" applyFont="true" borderId="8" applyBorder="true" applyNumberFormat="true" numFmtId="2" fillId="22" applyFill="true">
      <alignment horizontal="center" vertical="center"/>
    </xf>
    <xf fontId="27678" applyFont="true" borderId="8" applyBorder="true" applyNumberFormat="true" numFmtId="2" fillId="22" applyFill="true">
      <alignment horizontal="center" vertical="center"/>
    </xf>
    <xf fontId="27679" applyFont="true" borderId="8" applyBorder="true" applyNumberFormat="true" numFmtId="2" fillId="22" applyFill="true">
      <alignment horizontal="center" vertical="center"/>
    </xf>
    <xf fontId="27680" applyFont="true" borderId="8" applyBorder="true" applyNumberFormat="true" numFmtId="2" fillId="22" applyFill="true">
      <alignment horizontal="center" vertical="center"/>
    </xf>
    <xf fontId="27681" applyFont="true" borderId="8" applyBorder="true" applyNumberFormat="true" numFmtId="2" fillId="22" applyFill="true">
      <alignment horizontal="center" vertical="center"/>
    </xf>
    <xf fontId="27682" applyFont="true" borderId="8" applyBorder="true" applyNumberFormat="true" numFmtId="2" fillId="22" applyFill="true">
      <alignment horizontal="center" vertical="center"/>
    </xf>
    <xf fontId="27683" applyFont="true" borderId="8" applyBorder="true" applyNumberFormat="true" numFmtId="2" fillId="22" applyFill="true">
      <alignment horizontal="center" vertical="center"/>
    </xf>
    <xf fontId="27684" applyFont="true" borderId="8" applyBorder="true" applyNumberFormat="true" numFmtId="2" fillId="22" applyFill="true">
      <alignment horizontal="center" vertical="center"/>
    </xf>
    <xf fontId="27685" applyFont="true" borderId="8" applyBorder="true" applyNumberFormat="true" numFmtId="2" fillId="22" applyFill="true">
      <alignment horizontal="center" vertical="center"/>
    </xf>
    <xf fontId="27686" applyFont="true" borderId="8" applyBorder="true" applyNumberFormat="true" numFmtId="2" fillId="22" applyFill="true">
      <alignment horizontal="center" vertical="center"/>
    </xf>
    <xf fontId="27687" applyFont="true" borderId="8" applyBorder="true" applyNumberFormat="true" numFmtId="2" fillId="22" applyFill="true">
      <alignment horizontal="center" vertical="center"/>
    </xf>
    <xf fontId="27688" applyFont="true" borderId="8" applyBorder="true" applyNumberFormat="true" numFmtId="2" fillId="22" applyFill="true">
      <alignment horizontal="center" vertical="center"/>
    </xf>
    <xf fontId="27689" applyFont="true" borderId="8" applyBorder="true" applyNumberFormat="true" numFmtId="2" fillId="22" applyFill="true">
      <alignment horizontal="center" vertical="center"/>
    </xf>
    <xf fontId="27690" applyFont="true" borderId="8" applyBorder="true" applyNumberFormat="true" numFmtId="2" fillId="22" applyFill="true">
      <alignment horizontal="center" vertical="center"/>
    </xf>
    <xf fontId="27691" applyFont="true" borderId="8" applyBorder="true" applyNumberFormat="true" numFmtId="2" fillId="22" applyFill="true">
      <alignment horizontal="center" vertical="center"/>
    </xf>
    <xf fontId="27692" applyFont="true" borderId="8" applyBorder="true" applyNumberFormat="true" numFmtId="2" fillId="22" applyFill="true">
      <alignment horizontal="center" vertical="center"/>
    </xf>
    <xf fontId="27693" applyFont="true" borderId="8" applyBorder="true" applyNumberFormat="true" numFmtId="165" fillId="19" applyFill="true">
      <alignment horizontal="left" vertical="center"/>
    </xf>
    <xf fontId="27694" applyFont="true" borderId="8" applyBorder="true" applyNumberFormat="true" numFmtId="165" fillId="22" applyFill="true">
      <alignment horizontal="center" vertical="center"/>
    </xf>
    <xf fontId="27695" applyFont="true" borderId="8" applyBorder="true" applyNumberFormat="true" numFmtId="166" fillId="22" applyFill="true">
      <alignment horizontal="center" vertical="center"/>
    </xf>
    <xf fontId="27696" applyFont="true" borderId="8" applyBorder="true" applyNumberFormat="true" numFmtId="1" fillId="22" applyFill="true">
      <alignment horizontal="center" vertical="center"/>
    </xf>
    <xf fontId="27697" applyFont="true" borderId="8" applyBorder="true" applyNumberFormat="true" numFmtId="1" fillId="22" applyFill="true">
      <alignment horizontal="center" vertical="center"/>
    </xf>
    <xf fontId="27698" applyFont="true" borderId="8" applyBorder="true" applyNumberFormat="true" numFmtId="1" fillId="22" applyFill="true">
      <alignment horizontal="center" vertical="center"/>
    </xf>
    <xf fontId="27699" applyFont="true" borderId="8" applyBorder="true" applyNumberFormat="true" numFmtId="1" fillId="22" applyFill="true">
      <alignment horizontal="center" vertical="center"/>
    </xf>
    <xf fontId="27700" applyFont="true" borderId="8" applyBorder="true" applyNumberFormat="true" numFmtId="1" fillId="22" applyFill="true">
      <alignment horizontal="center" vertical="center"/>
    </xf>
    <xf fontId="27701" applyFont="true" borderId="8" applyBorder="true" applyNumberFormat="true" numFmtId="1" fillId="22" applyFill="true">
      <alignment horizontal="center" vertical="center"/>
    </xf>
    <xf fontId="27702" applyFont="true" borderId="8" applyBorder="true" applyNumberFormat="true" numFmtId="1" fillId="22" applyFill="true">
      <alignment horizontal="center" vertical="center"/>
    </xf>
    <xf fontId="27703" applyFont="true" borderId="8" applyBorder="true" applyNumberFormat="true" numFmtId="165" fillId="22" applyFill="true">
      <alignment horizontal="center" vertical="center"/>
    </xf>
    <xf fontId="27704" applyFont="true" borderId="8" applyBorder="true" applyNumberFormat="true" numFmtId="165" fillId="22" applyFill="true">
      <alignment horizontal="center" vertical="center"/>
    </xf>
    <xf fontId="27705" applyFont="true" borderId="8" applyBorder="true" applyNumberFormat="true" numFmtId="1" fillId="22" applyFill="true">
      <alignment horizontal="center" vertical="center"/>
    </xf>
    <xf fontId="27706" applyFont="true" borderId="8" applyBorder="true" applyNumberFormat="true" numFmtId="1" fillId="22" applyFill="true">
      <alignment horizontal="center" vertical="center"/>
    </xf>
    <xf fontId="27707" applyFont="true" borderId="8" applyBorder="true" applyNumberFormat="true" numFmtId="1" fillId="22" applyFill="true">
      <alignment horizontal="center" vertical="center"/>
    </xf>
    <xf fontId="27708" applyFont="true" borderId="8" applyBorder="true" applyNumberFormat="true" numFmtId="167" fillId="22" applyFill="true">
      <alignment horizontal="center" vertical="center"/>
    </xf>
    <xf fontId="27709" applyFont="true" borderId="8" applyBorder="true" applyNumberFormat="true" numFmtId="1" fillId="22" applyFill="true">
      <alignment horizontal="center" vertical="center"/>
    </xf>
    <xf fontId="27710" applyFont="true" borderId="8" applyBorder="true" applyNumberFormat="true" numFmtId="167" fillId="22" applyFill="true">
      <alignment horizontal="center" vertical="center"/>
    </xf>
    <xf fontId="27711" applyFont="true" borderId="8" applyBorder="true" applyNumberFormat="true" numFmtId="1" fillId="22" applyFill="true">
      <alignment horizontal="center" vertical="center"/>
    </xf>
    <xf fontId="27712" applyFont="true" borderId="8" applyBorder="true" applyNumberFormat="true" numFmtId="167" fillId="22" applyFill="true">
      <alignment horizontal="center" vertical="center"/>
    </xf>
    <xf fontId="27713" applyFont="true" borderId="8" applyBorder="true" applyNumberFormat="true" numFmtId="1" fillId="22" applyFill="true">
      <alignment horizontal="center" vertical="center"/>
    </xf>
    <xf fontId="27714" applyFont="true" borderId="8" applyBorder="true" applyNumberFormat="true" numFmtId="167" fillId="22" applyFill="true">
      <alignment horizontal="center" vertical="center"/>
    </xf>
    <xf fontId="27715" applyFont="true" borderId="8" applyBorder="true" applyNumberFormat="true" numFmtId="167" fillId="22" applyFill="true">
      <alignment horizontal="center" vertical="center"/>
    </xf>
    <xf fontId="27716" applyFont="true" borderId="8" applyBorder="true" applyNumberFormat="true" numFmtId="1" fillId="22" applyFill="true">
      <alignment horizontal="center" vertical="center"/>
    </xf>
    <xf fontId="27717" applyFont="true" borderId="8" applyBorder="true" applyNumberFormat="true" numFmtId="1" fillId="22" applyFill="true">
      <alignment horizontal="center" vertical="center"/>
    </xf>
    <xf fontId="27718" applyFont="true" borderId="8" applyBorder="true" applyNumberFormat="true" numFmtId="1" fillId="22" applyFill="true">
      <alignment horizontal="center" vertical="center"/>
    </xf>
    <xf fontId="27719" applyFont="true" borderId="8" applyBorder="true" applyNumberFormat="true" numFmtId="167" fillId="22" applyFill="true">
      <alignment horizontal="center" vertical="center"/>
    </xf>
    <xf fontId="27720" applyFont="true" borderId="8" applyBorder="true" applyNumberFormat="true" numFmtId="166" fillId="22" applyFill="true">
      <alignment horizontal="center" vertical="center"/>
    </xf>
    <xf fontId="27721" applyFont="true" borderId="8" applyBorder="true" applyNumberFormat="true" numFmtId="166" fillId="22" applyFill="true">
      <alignment horizontal="center" vertical="center"/>
    </xf>
    <xf fontId="27722" applyFont="true" borderId="8" applyBorder="true" applyNumberFormat="true" numFmtId="1" fillId="22" applyFill="true">
      <alignment horizontal="center" vertical="center"/>
    </xf>
    <xf fontId="27723" applyFont="true" borderId="8" applyBorder="true" applyNumberFormat="true" numFmtId="1" fillId="22" applyFill="true">
      <alignment horizontal="center" vertical="center"/>
    </xf>
    <xf fontId="27724" applyFont="true" borderId="8" applyBorder="true" applyNumberFormat="true" numFmtId="1" fillId="22" applyFill="true">
      <alignment horizontal="center" vertical="center"/>
    </xf>
    <xf fontId="27725" applyFont="true" borderId="8" applyBorder="true" applyNumberFormat="true" numFmtId="167" fillId="22" applyFill="true">
      <alignment horizontal="center" vertical="center"/>
    </xf>
    <xf fontId="27726" applyFont="true" borderId="8" applyBorder="true" applyNumberFormat="true" numFmtId="1" fillId="22" applyFill="true">
      <alignment horizontal="center" vertical="center"/>
    </xf>
    <xf fontId="27727" applyFont="true" borderId="8" applyBorder="true" applyNumberFormat="true" numFmtId="167" fillId="22" applyFill="true">
      <alignment horizontal="center" vertical="center"/>
    </xf>
    <xf fontId="27728" applyFont="true" borderId="8" applyBorder="true" applyNumberFormat="true" numFmtId="1" fillId="22" applyFill="true">
      <alignment horizontal="center" vertical="center"/>
    </xf>
    <xf fontId="27729" applyFont="true" borderId="8" applyBorder="true" applyNumberFormat="true" numFmtId="1" fillId="22" applyFill="true">
      <alignment horizontal="center" vertical="center"/>
    </xf>
    <xf fontId="27730" applyFont="true" borderId="8" applyBorder="true" applyNumberFormat="true" numFmtId="1" fillId="22" applyFill="true">
      <alignment horizontal="center" vertical="center"/>
    </xf>
    <xf fontId="27731" applyFont="true" borderId="8" applyBorder="true" applyNumberFormat="true" numFmtId="1" fillId="22" applyFill="true">
      <alignment horizontal="center" vertical="center"/>
    </xf>
    <xf fontId="27732" applyFont="true" borderId="8" applyBorder="true" applyNumberFormat="true" numFmtId="167" fillId="22" applyFill="true">
      <alignment horizontal="center" vertical="center"/>
    </xf>
    <xf fontId="27733" applyFont="true" borderId="8" applyBorder="true" applyNumberFormat="true" numFmtId="1" fillId="22" applyFill="true">
      <alignment horizontal="center" vertical="center"/>
    </xf>
    <xf fontId="27734" applyFont="true" borderId="8" applyBorder="true" applyNumberFormat="true" numFmtId="167" fillId="22" applyFill="true">
      <alignment horizontal="center" vertical="center"/>
    </xf>
    <xf fontId="27735" applyFont="true" borderId="8" applyBorder="true" applyNumberFormat="true" numFmtId="1" fillId="22" applyFill="true">
      <alignment horizontal="center" vertical="center"/>
    </xf>
    <xf fontId="27736" applyFont="true" borderId="8" applyBorder="true" applyNumberFormat="true" numFmtId="167" fillId="22" applyFill="true">
      <alignment horizontal="center" vertical="center"/>
    </xf>
    <xf fontId="27737" applyFont="true" borderId="8" applyBorder="true" applyNumberFormat="true" numFmtId="2" fillId="22" applyFill="true">
      <alignment horizontal="center" vertical="center"/>
    </xf>
    <xf fontId="27738" applyFont="true" borderId="8" applyBorder="true" applyNumberFormat="true" numFmtId="2" fillId="22" applyFill="true">
      <alignment horizontal="center" vertical="center"/>
    </xf>
    <xf fontId="27739" applyFont="true" borderId="8" applyBorder="true" applyNumberFormat="true" numFmtId="2" fillId="22" applyFill="true">
      <alignment horizontal="center" vertical="center"/>
    </xf>
    <xf fontId="27740" applyFont="true" borderId="8" applyBorder="true" applyNumberFormat="true" numFmtId="2" fillId="22" applyFill="true">
      <alignment horizontal="center" vertical="center"/>
    </xf>
    <xf fontId="27741" applyFont="true" borderId="8" applyBorder="true" applyNumberFormat="true" numFmtId="2" fillId="22" applyFill="true">
      <alignment horizontal="center" vertical="center"/>
    </xf>
    <xf fontId="27742" applyFont="true" borderId="8" applyBorder="true" applyNumberFormat="true" numFmtId="2" fillId="22" applyFill="true">
      <alignment horizontal="center" vertical="center"/>
    </xf>
    <xf fontId="27743" applyFont="true" borderId="8" applyBorder="true" applyNumberFormat="true" numFmtId="2" fillId="22" applyFill="true">
      <alignment horizontal="center" vertical="center"/>
    </xf>
    <xf fontId="27744" applyFont="true" borderId="8" applyBorder="true" applyNumberFormat="true" numFmtId="2" fillId="22" applyFill="true">
      <alignment horizontal="center" vertical="center"/>
    </xf>
    <xf fontId="27745" applyFont="true" borderId="8" applyBorder="true" applyNumberFormat="true" numFmtId="2" fillId="22" applyFill="true">
      <alignment horizontal="center" vertical="center"/>
    </xf>
    <xf fontId="27746" applyFont="true" borderId="8" applyBorder="true" applyNumberFormat="true" numFmtId="2" fillId="22" applyFill="true">
      <alignment horizontal="center" vertical="center"/>
    </xf>
    <xf fontId="27747" applyFont="true" borderId="8" applyBorder="true" applyNumberFormat="true" numFmtId="2" fillId="22" applyFill="true">
      <alignment horizontal="center" vertical="center"/>
    </xf>
    <xf fontId="27748" applyFont="true" borderId="8" applyBorder="true" applyNumberFormat="true" numFmtId="2" fillId="22" applyFill="true">
      <alignment horizontal="center" vertical="center"/>
    </xf>
    <xf fontId="27749" applyFont="true" borderId="8" applyBorder="true" applyNumberFormat="true" numFmtId="2" fillId="22" applyFill="true">
      <alignment horizontal="center" vertical="center"/>
    </xf>
    <xf fontId="27750" applyFont="true" borderId="8" applyBorder="true" applyNumberFormat="true" numFmtId="2" fillId="22" applyFill="true">
      <alignment horizontal="center" vertical="center"/>
    </xf>
    <xf fontId="27751" applyFont="true" borderId="8" applyBorder="true" applyNumberFormat="true" numFmtId="2" fillId="22" applyFill="true">
      <alignment horizontal="center" vertical="center"/>
    </xf>
    <xf fontId="27752" applyFont="true" borderId="8" applyBorder="true" applyNumberFormat="true" numFmtId="2" fillId="22" applyFill="true">
      <alignment horizontal="center" vertical="center"/>
    </xf>
    <xf fontId="27753" applyFont="true" borderId="8" applyBorder="true" applyNumberFormat="true" numFmtId="2" fillId="22" applyFill="true">
      <alignment horizontal="center" vertical="center"/>
    </xf>
    <xf fontId="27754" applyFont="true" borderId="8" applyBorder="true" applyNumberFormat="true" numFmtId="2" fillId="22" applyFill="true">
      <alignment horizontal="center" vertical="center"/>
    </xf>
    <xf fontId="27755" applyFont="true" borderId="8" applyBorder="true" applyNumberFormat="true" numFmtId="2" fillId="22" applyFill="true">
      <alignment horizontal="center" vertical="center"/>
    </xf>
    <xf fontId="27756" applyFont="true" borderId="8" applyBorder="true" applyNumberFormat="true" numFmtId="2" fillId="22" applyFill="true">
      <alignment horizontal="center" vertical="center"/>
    </xf>
    <xf fontId="27757" applyFont="true" borderId="8" applyBorder="true" applyNumberFormat="true" numFmtId="2" fillId="22" applyFill="true">
      <alignment horizontal="center" vertical="center"/>
    </xf>
    <xf fontId="27758" applyFont="true" borderId="8" applyBorder="true" applyNumberFormat="true" numFmtId="2" fillId="22" applyFill="true">
      <alignment horizontal="center" vertical="center"/>
    </xf>
    <xf fontId="27759" applyFont="true" borderId="8" applyBorder="true" applyNumberFormat="true" numFmtId="2" fillId="22" applyFill="true">
      <alignment horizontal="center" vertical="center"/>
    </xf>
    <xf fontId="27760" applyFont="true" borderId="8" applyBorder="true" applyNumberFormat="true" numFmtId="2" fillId="22" applyFill="true">
      <alignment horizontal="center" vertical="center"/>
    </xf>
    <xf fontId="27761" applyFont="true" borderId="8" applyBorder="true" applyNumberFormat="true" numFmtId="2" fillId="22" applyFill="true">
      <alignment horizontal="center" vertical="center"/>
    </xf>
    <xf fontId="27762" applyFont="true" borderId="8" applyBorder="true" applyNumberFormat="true" numFmtId="2" fillId="22" applyFill="true">
      <alignment horizontal="center" vertical="center"/>
    </xf>
    <xf fontId="27763" applyFont="true" borderId="8" applyBorder="true" applyNumberFormat="true" numFmtId="2" fillId="22" applyFill="true">
      <alignment horizontal="center" vertical="center"/>
    </xf>
    <xf fontId="27764" applyFont="true" borderId="8" applyBorder="true" applyNumberFormat="true" numFmtId="2" fillId="22" applyFill="true">
      <alignment horizontal="center" vertical="center"/>
    </xf>
    <xf fontId="27765" applyFont="true" borderId="8" applyBorder="true" applyNumberFormat="true" numFmtId="2" fillId="22" applyFill="true">
      <alignment horizontal="center" vertical="center"/>
    </xf>
    <xf fontId="27766" applyFont="true" borderId="8" applyBorder="true" applyNumberFormat="true" numFmtId="2" fillId="22" applyFill="true">
      <alignment horizontal="center" vertical="center"/>
    </xf>
    <xf fontId="27767" applyFont="true" borderId="8" applyBorder="true" applyNumberFormat="true" numFmtId="2" fillId="22" applyFill="true">
      <alignment horizontal="center" vertical="center"/>
    </xf>
    <xf fontId="27768" applyFont="true" borderId="8" applyBorder="true" applyNumberFormat="true" numFmtId="2" fillId="22" applyFill="true">
      <alignment horizontal="center" vertical="center"/>
    </xf>
    <xf fontId="27769" applyFont="true" borderId="8" applyBorder="true" applyNumberFormat="true" numFmtId="2" fillId="22" applyFill="true">
      <alignment horizontal="center" vertical="center"/>
    </xf>
    <xf fontId="27770" applyFont="true" borderId="8" applyBorder="true" applyNumberFormat="true" numFmtId="2" fillId="22" applyFill="true">
      <alignment horizontal="center" vertical="center"/>
    </xf>
    <xf fontId="27771" applyFont="true" borderId="8" applyBorder="true" applyNumberFormat="true" numFmtId="165" fillId="19" applyFill="true">
      <alignment horizontal="left" vertical="center"/>
    </xf>
    <xf fontId="27772" applyFont="true" borderId="8" applyBorder="true" applyNumberFormat="true" numFmtId="165" fillId="22" applyFill="true">
      <alignment horizontal="center" vertical="center"/>
    </xf>
    <xf fontId="27773" applyFont="true" borderId="8" applyBorder="true" applyNumberFormat="true" numFmtId="166" fillId="22" applyFill="true">
      <alignment horizontal="center" vertical="center"/>
    </xf>
    <xf fontId="27774" applyFont="true" borderId="8" applyBorder="true" applyNumberFormat="true" numFmtId="1" fillId="22" applyFill="true">
      <alignment horizontal="center" vertical="center"/>
    </xf>
    <xf fontId="27775" applyFont="true" borderId="8" applyBorder="true" applyNumberFormat="true" numFmtId="1" fillId="22" applyFill="true">
      <alignment horizontal="center" vertical="center"/>
    </xf>
    <xf fontId="27776" applyFont="true" borderId="8" applyBorder="true" applyNumberFormat="true" numFmtId="1" fillId="22" applyFill="true">
      <alignment horizontal="center" vertical="center"/>
    </xf>
    <xf fontId="27777" applyFont="true" borderId="8" applyBorder="true" applyNumberFormat="true" numFmtId="1" fillId="22" applyFill="true">
      <alignment horizontal="center" vertical="center"/>
    </xf>
    <xf fontId="27778" applyFont="true" borderId="8" applyBorder="true" applyNumberFormat="true" numFmtId="1" fillId="22" applyFill="true">
      <alignment horizontal="center" vertical="center"/>
    </xf>
    <xf fontId="27779" applyFont="true" borderId="8" applyBorder="true" applyNumberFormat="true" numFmtId="1" fillId="22" applyFill="true">
      <alignment horizontal="center" vertical="center"/>
    </xf>
    <xf fontId="27780" applyFont="true" borderId="8" applyBorder="true" applyNumberFormat="true" numFmtId="1" fillId="22" applyFill="true">
      <alignment horizontal="center" vertical="center"/>
    </xf>
    <xf fontId="27781" applyFont="true" borderId="8" applyBorder="true" applyNumberFormat="true" numFmtId="165" fillId="22" applyFill="true">
      <alignment horizontal="center" vertical="center"/>
    </xf>
    <xf fontId="27782" applyFont="true" borderId="8" applyBorder="true" applyNumberFormat="true" numFmtId="165" fillId="22" applyFill="true">
      <alignment horizontal="center" vertical="center"/>
    </xf>
    <xf fontId="27783" applyFont="true" borderId="8" applyBorder="true" applyNumberFormat="true" numFmtId="1" fillId="22" applyFill="true">
      <alignment horizontal="center" vertical="center"/>
    </xf>
    <xf fontId="27784" applyFont="true" borderId="8" applyBorder="true" applyNumberFormat="true" numFmtId="1" fillId="22" applyFill="true">
      <alignment horizontal="center" vertical="center"/>
    </xf>
    <xf fontId="27785" applyFont="true" borderId="8" applyBorder="true" applyNumberFormat="true" numFmtId="1" fillId="22" applyFill="true">
      <alignment horizontal="center" vertical="center"/>
    </xf>
    <xf fontId="27786" applyFont="true" borderId="8" applyBorder="true" applyNumberFormat="true" numFmtId="167" fillId="22" applyFill="true">
      <alignment horizontal="center" vertical="center"/>
    </xf>
    <xf fontId="27787" applyFont="true" borderId="8" applyBorder="true" applyNumberFormat="true" numFmtId="1" fillId="22" applyFill="true">
      <alignment horizontal="center" vertical="center"/>
    </xf>
    <xf fontId="27788" applyFont="true" borderId="8" applyBorder="true" applyNumberFormat="true" numFmtId="167" fillId="22" applyFill="true">
      <alignment horizontal="center" vertical="center"/>
    </xf>
    <xf fontId="27789" applyFont="true" borderId="8" applyBorder="true" applyNumberFormat="true" numFmtId="1" fillId="22" applyFill="true">
      <alignment horizontal="center" vertical="center"/>
    </xf>
    <xf fontId="27790" applyFont="true" borderId="8" applyBorder="true" applyNumberFormat="true" numFmtId="167" fillId="22" applyFill="true">
      <alignment horizontal="center" vertical="center"/>
    </xf>
    <xf fontId="27791" applyFont="true" borderId="8" applyBorder="true" applyNumberFormat="true" numFmtId="1" fillId="22" applyFill="true">
      <alignment horizontal="center" vertical="center"/>
    </xf>
    <xf fontId="27792" applyFont="true" borderId="8" applyBorder="true" applyNumberFormat="true" numFmtId="167" fillId="22" applyFill="true">
      <alignment horizontal="center" vertical="center"/>
    </xf>
    <xf fontId="27793" applyFont="true" borderId="8" applyBorder="true" applyNumberFormat="true" numFmtId="167" fillId="22" applyFill="true">
      <alignment horizontal="center" vertical="center"/>
    </xf>
    <xf fontId="27794" applyFont="true" borderId="8" applyBorder="true" applyNumberFormat="true" numFmtId="1" fillId="22" applyFill="true">
      <alignment horizontal="center" vertical="center"/>
    </xf>
    <xf fontId="27795" applyFont="true" borderId="8" applyBorder="true" applyNumberFormat="true" numFmtId="1" fillId="22" applyFill="true">
      <alignment horizontal="center" vertical="center"/>
    </xf>
    <xf fontId="27796" applyFont="true" borderId="8" applyBorder="true" applyNumberFormat="true" numFmtId="1" fillId="22" applyFill="true">
      <alignment horizontal="center" vertical="center"/>
    </xf>
    <xf fontId="27797" applyFont="true" borderId="8" applyBorder="true" applyNumberFormat="true" numFmtId="167" fillId="22" applyFill="true">
      <alignment horizontal="center" vertical="center"/>
    </xf>
    <xf fontId="27798" applyFont="true" borderId="8" applyBorder="true" applyNumberFormat="true" numFmtId="166" fillId="22" applyFill="true">
      <alignment horizontal="center" vertical="center"/>
    </xf>
    <xf fontId="27799" applyFont="true" borderId="8" applyBorder="true" applyNumberFormat="true" numFmtId="166" fillId="22" applyFill="true">
      <alignment horizontal="center" vertical="center"/>
    </xf>
    <xf fontId="27800" applyFont="true" borderId="8" applyBorder="true" applyNumberFormat="true" numFmtId="1" fillId="22" applyFill="true">
      <alignment horizontal="center" vertical="center"/>
    </xf>
    <xf fontId="27801" applyFont="true" borderId="8" applyBorder="true" applyNumberFormat="true" numFmtId="1" fillId="22" applyFill="true">
      <alignment horizontal="center" vertical="center"/>
    </xf>
    <xf fontId="27802" applyFont="true" borderId="8" applyBorder="true" applyNumberFormat="true" numFmtId="1" fillId="22" applyFill="true">
      <alignment horizontal="center" vertical="center"/>
    </xf>
    <xf fontId="27803" applyFont="true" borderId="8" applyBorder="true" applyNumberFormat="true" numFmtId="167" fillId="22" applyFill="true">
      <alignment horizontal="center" vertical="center"/>
    </xf>
    <xf fontId="27804" applyFont="true" borderId="8" applyBorder="true" applyNumberFormat="true" numFmtId="1" fillId="22" applyFill="true">
      <alignment horizontal="center" vertical="center"/>
    </xf>
    <xf fontId="27805" applyFont="true" borderId="8" applyBorder="true" applyNumberFormat="true" numFmtId="167" fillId="22" applyFill="true">
      <alignment horizontal="center" vertical="center"/>
    </xf>
    <xf fontId="27806" applyFont="true" borderId="8" applyBorder="true" applyNumberFormat="true" numFmtId="1" fillId="22" applyFill="true">
      <alignment horizontal="center" vertical="center"/>
    </xf>
    <xf fontId="27807" applyFont="true" borderId="8" applyBorder="true" applyNumberFormat="true" numFmtId="1" fillId="22" applyFill="true">
      <alignment horizontal="center" vertical="center"/>
    </xf>
    <xf fontId="27808" applyFont="true" borderId="8" applyBorder="true" applyNumberFormat="true" numFmtId="1" fillId="22" applyFill="true">
      <alignment horizontal="center" vertical="center"/>
    </xf>
    <xf fontId="27809" applyFont="true" borderId="8" applyBorder="true" applyNumberFormat="true" numFmtId="1" fillId="22" applyFill="true">
      <alignment horizontal="center" vertical="center"/>
    </xf>
    <xf fontId="27810" applyFont="true" borderId="8" applyBorder="true" applyNumberFormat="true" numFmtId="167" fillId="22" applyFill="true">
      <alignment horizontal="center" vertical="center"/>
    </xf>
    <xf fontId="27811" applyFont="true" borderId="8" applyBorder="true" applyNumberFormat="true" numFmtId="1" fillId="22" applyFill="true">
      <alignment horizontal="center" vertical="center"/>
    </xf>
    <xf fontId="27812" applyFont="true" borderId="8" applyBorder="true" applyNumberFormat="true" numFmtId="167" fillId="22" applyFill="true">
      <alignment horizontal="center" vertical="center"/>
    </xf>
    <xf fontId="27813" applyFont="true" borderId="8" applyBorder="true" applyNumberFormat="true" numFmtId="1" fillId="22" applyFill="true">
      <alignment horizontal="center" vertical="center"/>
    </xf>
    <xf fontId="27814" applyFont="true" borderId="8" applyBorder="true" applyNumberFormat="true" numFmtId="167" fillId="22" applyFill="true">
      <alignment horizontal="center" vertical="center"/>
    </xf>
    <xf fontId="27815" applyFont="true" borderId="8" applyBorder="true" applyNumberFormat="true" numFmtId="2" fillId="22" applyFill="true">
      <alignment horizontal="center" vertical="center"/>
    </xf>
    <xf fontId="27816" applyFont="true" borderId="8" applyBorder="true" applyNumberFormat="true" numFmtId="2" fillId="22" applyFill="true">
      <alignment horizontal="center" vertical="center"/>
    </xf>
    <xf fontId="27817" applyFont="true" borderId="8" applyBorder="true" applyNumberFormat="true" numFmtId="2" fillId="22" applyFill="true">
      <alignment horizontal="center" vertical="center"/>
    </xf>
    <xf fontId="27818" applyFont="true" borderId="8" applyBorder="true" applyNumberFormat="true" numFmtId="2" fillId="22" applyFill="true">
      <alignment horizontal="center" vertical="center"/>
    </xf>
    <xf fontId="27819" applyFont="true" borderId="8" applyBorder="true" applyNumberFormat="true" numFmtId="2" fillId="22" applyFill="true">
      <alignment horizontal="center" vertical="center"/>
    </xf>
    <xf fontId="27820" applyFont="true" borderId="8" applyBorder="true" applyNumberFormat="true" numFmtId="2" fillId="22" applyFill="true">
      <alignment horizontal="center" vertical="center"/>
    </xf>
    <xf fontId="27821" applyFont="true" borderId="8" applyBorder="true" applyNumberFormat="true" numFmtId="2" fillId="22" applyFill="true">
      <alignment horizontal="center" vertical="center"/>
    </xf>
    <xf fontId="27822" applyFont="true" borderId="8" applyBorder="true" applyNumberFormat="true" numFmtId="2" fillId="22" applyFill="true">
      <alignment horizontal="center" vertical="center"/>
    </xf>
    <xf fontId="27823" applyFont="true" borderId="8" applyBorder="true" applyNumberFormat="true" numFmtId="2" fillId="22" applyFill="true">
      <alignment horizontal="center" vertical="center"/>
    </xf>
    <xf fontId="27824" applyFont="true" borderId="8" applyBorder="true" applyNumberFormat="true" numFmtId="2" fillId="22" applyFill="true">
      <alignment horizontal="center" vertical="center"/>
    </xf>
    <xf fontId="27825" applyFont="true" borderId="8" applyBorder="true" applyNumberFormat="true" numFmtId="2" fillId="22" applyFill="true">
      <alignment horizontal="center" vertical="center"/>
    </xf>
    <xf fontId="27826" applyFont="true" borderId="8" applyBorder="true" applyNumberFormat="true" numFmtId="2" fillId="22" applyFill="true">
      <alignment horizontal="center" vertical="center"/>
    </xf>
    <xf fontId="27827" applyFont="true" borderId="8" applyBorder="true" applyNumberFormat="true" numFmtId="2" fillId="22" applyFill="true">
      <alignment horizontal="center" vertical="center"/>
    </xf>
    <xf fontId="27828" applyFont="true" borderId="8" applyBorder="true" applyNumberFormat="true" numFmtId="2" fillId="22" applyFill="true">
      <alignment horizontal="center" vertical="center"/>
    </xf>
    <xf fontId="27829" applyFont="true" borderId="8" applyBorder="true" applyNumberFormat="true" numFmtId="2" fillId="22" applyFill="true">
      <alignment horizontal="center" vertical="center"/>
    </xf>
    <xf fontId="27830" applyFont="true" borderId="8" applyBorder="true" applyNumberFormat="true" numFmtId="2" fillId="22" applyFill="true">
      <alignment horizontal="center" vertical="center"/>
    </xf>
    <xf fontId="27831" applyFont="true" borderId="8" applyBorder="true" applyNumberFormat="true" numFmtId="2" fillId="22" applyFill="true">
      <alignment horizontal="center" vertical="center"/>
    </xf>
    <xf fontId="27832" applyFont="true" borderId="8" applyBorder="true" applyNumberFormat="true" numFmtId="2" fillId="22" applyFill="true">
      <alignment horizontal="center" vertical="center"/>
    </xf>
    <xf fontId="27833" applyFont="true" borderId="8" applyBorder="true" applyNumberFormat="true" numFmtId="2" fillId="22" applyFill="true">
      <alignment horizontal="center" vertical="center"/>
    </xf>
    <xf fontId="27834" applyFont="true" borderId="8" applyBorder="true" applyNumberFormat="true" numFmtId="2" fillId="22" applyFill="true">
      <alignment horizontal="center" vertical="center"/>
    </xf>
    <xf fontId="27835" applyFont="true" borderId="8" applyBorder="true" applyNumberFormat="true" numFmtId="2" fillId="22" applyFill="true">
      <alignment horizontal="center" vertical="center"/>
    </xf>
    <xf fontId="27836" applyFont="true" borderId="8" applyBorder="true" applyNumberFormat="true" numFmtId="2" fillId="22" applyFill="true">
      <alignment horizontal="center" vertical="center"/>
    </xf>
    <xf fontId="27837" applyFont="true" borderId="8" applyBorder="true" applyNumberFormat="true" numFmtId="2" fillId="22" applyFill="true">
      <alignment horizontal="center" vertical="center"/>
    </xf>
    <xf fontId="27838" applyFont="true" borderId="8" applyBorder="true" applyNumberFormat="true" numFmtId="2" fillId="22" applyFill="true">
      <alignment horizontal="center" vertical="center"/>
    </xf>
    <xf fontId="27839" applyFont="true" borderId="8" applyBorder="true" applyNumberFormat="true" numFmtId="2" fillId="22" applyFill="true">
      <alignment horizontal="center" vertical="center"/>
    </xf>
    <xf fontId="27840" applyFont="true" borderId="8" applyBorder="true" applyNumberFormat="true" numFmtId="2" fillId="22" applyFill="true">
      <alignment horizontal="center" vertical="center"/>
    </xf>
    <xf fontId="27841" applyFont="true" borderId="8" applyBorder="true" applyNumberFormat="true" numFmtId="2" fillId="22" applyFill="true">
      <alignment horizontal="center" vertical="center"/>
    </xf>
    <xf fontId="27842" applyFont="true" borderId="8" applyBorder="true" applyNumberFormat="true" numFmtId="2" fillId="22" applyFill="true">
      <alignment horizontal="center" vertical="center"/>
    </xf>
    <xf fontId="27843" applyFont="true" borderId="8" applyBorder="true" applyNumberFormat="true" numFmtId="2" fillId="22" applyFill="true">
      <alignment horizontal="center" vertical="center"/>
    </xf>
    <xf fontId="27844" applyFont="true" borderId="8" applyBorder="true" applyNumberFormat="true" numFmtId="2" fillId="22" applyFill="true">
      <alignment horizontal="center" vertical="center"/>
    </xf>
    <xf fontId="27845" applyFont="true" borderId="8" applyBorder="true" applyNumberFormat="true" numFmtId="2" fillId="22" applyFill="true">
      <alignment horizontal="center" vertical="center"/>
    </xf>
    <xf fontId="27846" applyFont="true" borderId="8" applyBorder="true" applyNumberFormat="true" numFmtId="2" fillId="22" applyFill="true">
      <alignment horizontal="center" vertical="center"/>
    </xf>
    <xf fontId="27847" applyFont="true" borderId="8" applyBorder="true" applyNumberFormat="true" numFmtId="2" fillId="22" applyFill="true">
      <alignment horizontal="center" vertical="center"/>
    </xf>
    <xf fontId="27848" applyFont="true" borderId="8" applyBorder="true" applyNumberFormat="true" numFmtId="2" fillId="22" applyFill="true">
      <alignment horizontal="center" vertical="center"/>
    </xf>
    <xf fontId="27849" applyFont="true" borderId="8" applyBorder="true" applyNumberFormat="true" numFmtId="165" fillId="19" applyFill="true">
      <alignment horizontal="left" vertical="center"/>
    </xf>
    <xf fontId="27850" applyFont="true" borderId="8" applyBorder="true" applyNumberFormat="true" numFmtId="165" fillId="22" applyFill="true">
      <alignment horizontal="center" vertical="center"/>
    </xf>
    <xf fontId="27851" applyFont="true" borderId="8" applyBorder="true" applyNumberFormat="true" numFmtId="166" fillId="22" applyFill="true">
      <alignment horizontal="center" vertical="center"/>
    </xf>
    <xf fontId="27852" applyFont="true" borderId="8" applyBorder="true" applyNumberFormat="true" numFmtId="1" fillId="22" applyFill="true">
      <alignment horizontal="center" vertical="center"/>
    </xf>
    <xf fontId="27853" applyFont="true" borderId="8" applyBorder="true" applyNumberFormat="true" numFmtId="1" fillId="22" applyFill="true">
      <alignment horizontal="center" vertical="center"/>
    </xf>
    <xf fontId="27854" applyFont="true" borderId="8" applyBorder="true" applyNumberFormat="true" numFmtId="1" fillId="22" applyFill="true">
      <alignment horizontal="center" vertical="center"/>
    </xf>
    <xf fontId="27855" applyFont="true" borderId="8" applyBorder="true" applyNumberFormat="true" numFmtId="1" fillId="22" applyFill="true">
      <alignment horizontal="center" vertical="center"/>
    </xf>
    <xf fontId="27856" applyFont="true" borderId="8" applyBorder="true" applyNumberFormat="true" numFmtId="1" fillId="22" applyFill="true">
      <alignment horizontal="center" vertical="center"/>
    </xf>
    <xf fontId="27857" applyFont="true" borderId="8" applyBorder="true" applyNumberFormat="true" numFmtId="1" fillId="22" applyFill="true">
      <alignment horizontal="center" vertical="center"/>
    </xf>
    <xf fontId="27858" applyFont="true" borderId="8" applyBorder="true" applyNumberFormat="true" numFmtId="1" fillId="22" applyFill="true">
      <alignment horizontal="center" vertical="center"/>
    </xf>
    <xf fontId="27859" applyFont="true" borderId="8" applyBorder="true" applyNumberFormat="true" numFmtId="165" fillId="22" applyFill="true">
      <alignment horizontal="center" vertical="center"/>
    </xf>
    <xf fontId="27860" applyFont="true" borderId="8" applyBorder="true" applyNumberFormat="true" numFmtId="165" fillId="22" applyFill="true">
      <alignment horizontal="center" vertical="center"/>
    </xf>
    <xf fontId="27861" applyFont="true" borderId="8" applyBorder="true" applyNumberFormat="true" numFmtId="1" fillId="22" applyFill="true">
      <alignment horizontal="center" vertical="center"/>
    </xf>
    <xf fontId="27862" applyFont="true" borderId="8" applyBorder="true" applyNumberFormat="true" numFmtId="1" fillId="22" applyFill="true">
      <alignment horizontal="center" vertical="center"/>
    </xf>
    <xf fontId="27863" applyFont="true" borderId="8" applyBorder="true" applyNumberFormat="true" numFmtId="1" fillId="22" applyFill="true">
      <alignment horizontal="center" vertical="center"/>
    </xf>
    <xf fontId="27864" applyFont="true" borderId="8" applyBorder="true" applyNumberFormat="true" numFmtId="167" fillId="22" applyFill="true">
      <alignment horizontal="center" vertical="center"/>
    </xf>
    <xf fontId="27865" applyFont="true" borderId="8" applyBorder="true" applyNumberFormat="true" numFmtId="1" fillId="22" applyFill="true">
      <alignment horizontal="center" vertical="center"/>
    </xf>
    <xf fontId="27866" applyFont="true" borderId="8" applyBorder="true" applyNumberFormat="true" numFmtId="167" fillId="22" applyFill="true">
      <alignment horizontal="center" vertical="center"/>
    </xf>
    <xf fontId="27867" applyFont="true" borderId="8" applyBorder="true" applyNumberFormat="true" numFmtId="1" fillId="22" applyFill="true">
      <alignment horizontal="center" vertical="center"/>
    </xf>
    <xf fontId="27868" applyFont="true" borderId="8" applyBorder="true" applyNumberFormat="true" numFmtId="167" fillId="22" applyFill="true">
      <alignment horizontal="center" vertical="center"/>
    </xf>
    <xf fontId="27869" applyFont="true" borderId="8" applyBorder="true" applyNumberFormat="true" numFmtId="1" fillId="22" applyFill="true">
      <alignment horizontal="center" vertical="center"/>
    </xf>
    <xf fontId="27870" applyFont="true" borderId="8" applyBorder="true" applyNumberFormat="true" numFmtId="167" fillId="22" applyFill="true">
      <alignment horizontal="center" vertical="center"/>
    </xf>
    <xf fontId="27871" applyFont="true" borderId="8" applyBorder="true" applyNumberFormat="true" numFmtId="167" fillId="22" applyFill="true">
      <alignment horizontal="center" vertical="center"/>
    </xf>
    <xf fontId="27872" applyFont="true" borderId="8" applyBorder="true" applyNumberFormat="true" numFmtId="1" fillId="22" applyFill="true">
      <alignment horizontal="center" vertical="center"/>
    </xf>
    <xf fontId="27873" applyFont="true" borderId="8" applyBorder="true" applyNumberFormat="true" numFmtId="1" fillId="22" applyFill="true">
      <alignment horizontal="center" vertical="center"/>
    </xf>
    <xf fontId="27874" applyFont="true" borderId="8" applyBorder="true" applyNumberFormat="true" numFmtId="1" fillId="22" applyFill="true">
      <alignment horizontal="center" vertical="center"/>
    </xf>
    <xf fontId="27875" applyFont="true" borderId="8" applyBorder="true" applyNumberFormat="true" numFmtId="167" fillId="22" applyFill="true">
      <alignment horizontal="center" vertical="center"/>
    </xf>
    <xf fontId="27876" applyFont="true" borderId="8" applyBorder="true" applyNumberFormat="true" numFmtId="166" fillId="22" applyFill="true">
      <alignment horizontal="center" vertical="center"/>
    </xf>
    <xf fontId="27877" applyFont="true" borderId="8" applyBorder="true" applyNumberFormat="true" numFmtId="166" fillId="22" applyFill="true">
      <alignment horizontal="center" vertical="center"/>
    </xf>
    <xf fontId="27878" applyFont="true" borderId="8" applyBorder="true" applyNumberFormat="true" numFmtId="1" fillId="22" applyFill="true">
      <alignment horizontal="center" vertical="center"/>
    </xf>
    <xf fontId="27879" applyFont="true" borderId="8" applyBorder="true" applyNumberFormat="true" numFmtId="1" fillId="22" applyFill="true">
      <alignment horizontal="center" vertical="center"/>
    </xf>
    <xf fontId="27880" applyFont="true" borderId="8" applyBorder="true" applyNumberFormat="true" numFmtId="1" fillId="22" applyFill="true">
      <alignment horizontal="center" vertical="center"/>
    </xf>
    <xf fontId="27881" applyFont="true" borderId="8" applyBorder="true" applyNumberFormat="true" numFmtId="167" fillId="22" applyFill="true">
      <alignment horizontal="center" vertical="center"/>
    </xf>
    <xf fontId="27882" applyFont="true" borderId="8" applyBorder="true" applyNumberFormat="true" numFmtId="1" fillId="22" applyFill="true">
      <alignment horizontal="center" vertical="center"/>
    </xf>
    <xf fontId="27883" applyFont="true" borderId="8" applyBorder="true" applyNumberFormat="true" numFmtId="167" fillId="22" applyFill="true">
      <alignment horizontal="center" vertical="center"/>
    </xf>
    <xf fontId="27884" applyFont="true" borderId="8" applyBorder="true" applyNumberFormat="true" numFmtId="1" fillId="22" applyFill="true">
      <alignment horizontal="center" vertical="center"/>
    </xf>
    <xf fontId="27885" applyFont="true" borderId="8" applyBorder="true" applyNumberFormat="true" numFmtId="1" fillId="22" applyFill="true">
      <alignment horizontal="center" vertical="center"/>
    </xf>
    <xf fontId="27886" applyFont="true" borderId="8" applyBorder="true" applyNumberFormat="true" numFmtId="1" fillId="22" applyFill="true">
      <alignment horizontal="center" vertical="center"/>
    </xf>
    <xf fontId="27887" applyFont="true" borderId="8" applyBorder="true" applyNumberFormat="true" numFmtId="1" fillId="22" applyFill="true">
      <alignment horizontal="center" vertical="center"/>
    </xf>
    <xf fontId="27888" applyFont="true" borderId="8" applyBorder="true" applyNumberFormat="true" numFmtId="167" fillId="22" applyFill="true">
      <alignment horizontal="center" vertical="center"/>
    </xf>
    <xf fontId="27889" applyFont="true" borderId="8" applyBorder="true" applyNumberFormat="true" numFmtId="1" fillId="22" applyFill="true">
      <alignment horizontal="center" vertical="center"/>
    </xf>
    <xf fontId="27890" applyFont="true" borderId="8" applyBorder="true" applyNumberFormat="true" numFmtId="167" fillId="22" applyFill="true">
      <alignment horizontal="center" vertical="center"/>
    </xf>
    <xf fontId="27891" applyFont="true" borderId="8" applyBorder="true" applyNumberFormat="true" numFmtId="1" fillId="22" applyFill="true">
      <alignment horizontal="center" vertical="center"/>
    </xf>
    <xf fontId="27892" applyFont="true" borderId="8" applyBorder="true" applyNumberFormat="true" numFmtId="167" fillId="22" applyFill="true">
      <alignment horizontal="center" vertical="center"/>
    </xf>
    <xf fontId="27893" applyFont="true" borderId="8" applyBorder="true" applyNumberFormat="true" numFmtId="2" fillId="22" applyFill="true">
      <alignment horizontal="center" vertical="center"/>
    </xf>
    <xf fontId="27894" applyFont="true" borderId="8" applyBorder="true" applyNumberFormat="true" numFmtId="2" fillId="22" applyFill="true">
      <alignment horizontal="center" vertical="center"/>
    </xf>
    <xf fontId="27895" applyFont="true" borderId="8" applyBorder="true" applyNumberFormat="true" numFmtId="2" fillId="22" applyFill="true">
      <alignment horizontal="center" vertical="center"/>
    </xf>
    <xf fontId="27896" applyFont="true" borderId="8" applyBorder="true" applyNumberFormat="true" numFmtId="2" fillId="22" applyFill="true">
      <alignment horizontal="center" vertical="center"/>
    </xf>
    <xf fontId="27897" applyFont="true" borderId="8" applyBorder="true" applyNumberFormat="true" numFmtId="2" fillId="22" applyFill="true">
      <alignment horizontal="center" vertical="center"/>
    </xf>
    <xf fontId="27898" applyFont="true" borderId="8" applyBorder="true" applyNumberFormat="true" numFmtId="2" fillId="22" applyFill="true">
      <alignment horizontal="center" vertical="center"/>
    </xf>
    <xf fontId="27899" applyFont="true" borderId="8" applyBorder="true" applyNumberFormat="true" numFmtId="2" fillId="22" applyFill="true">
      <alignment horizontal="center" vertical="center"/>
    </xf>
    <xf fontId="27900" applyFont="true" borderId="8" applyBorder="true" applyNumberFormat="true" numFmtId="2" fillId="22" applyFill="true">
      <alignment horizontal="center" vertical="center"/>
    </xf>
    <xf fontId="27901" applyFont="true" borderId="8" applyBorder="true" applyNumberFormat="true" numFmtId="2" fillId="22" applyFill="true">
      <alignment horizontal="center" vertical="center"/>
    </xf>
    <xf fontId="27902" applyFont="true" borderId="8" applyBorder="true" applyNumberFormat="true" numFmtId="2" fillId="22" applyFill="true">
      <alignment horizontal="center" vertical="center"/>
    </xf>
    <xf fontId="27903" applyFont="true" borderId="8" applyBorder="true" applyNumberFormat="true" numFmtId="2" fillId="22" applyFill="true">
      <alignment horizontal="center" vertical="center"/>
    </xf>
    <xf fontId="27904" applyFont="true" borderId="8" applyBorder="true" applyNumberFormat="true" numFmtId="2" fillId="22" applyFill="true">
      <alignment horizontal="center" vertical="center"/>
    </xf>
    <xf fontId="27905" applyFont="true" borderId="8" applyBorder="true" applyNumberFormat="true" numFmtId="2" fillId="22" applyFill="true">
      <alignment horizontal="center" vertical="center"/>
    </xf>
    <xf fontId="27906" applyFont="true" borderId="8" applyBorder="true" applyNumberFormat="true" numFmtId="2" fillId="22" applyFill="true">
      <alignment horizontal="center" vertical="center"/>
    </xf>
    <xf fontId="27907" applyFont="true" borderId="8" applyBorder="true" applyNumberFormat="true" numFmtId="2" fillId="22" applyFill="true">
      <alignment horizontal="center" vertical="center"/>
    </xf>
    <xf fontId="27908" applyFont="true" borderId="8" applyBorder="true" applyNumberFormat="true" numFmtId="2" fillId="22" applyFill="true">
      <alignment horizontal="center" vertical="center"/>
    </xf>
    <xf fontId="27909" applyFont="true" borderId="8" applyBorder="true" applyNumberFormat="true" numFmtId="2" fillId="22" applyFill="true">
      <alignment horizontal="center" vertical="center"/>
    </xf>
    <xf fontId="27910" applyFont="true" borderId="8" applyBorder="true" applyNumberFormat="true" numFmtId="2" fillId="22" applyFill="true">
      <alignment horizontal="center" vertical="center"/>
    </xf>
    <xf fontId="27911" applyFont="true" borderId="8" applyBorder="true" applyNumberFormat="true" numFmtId="2" fillId="22" applyFill="true">
      <alignment horizontal="center" vertical="center"/>
    </xf>
    <xf fontId="27912" applyFont="true" borderId="8" applyBorder="true" applyNumberFormat="true" numFmtId="2" fillId="22" applyFill="true">
      <alignment horizontal="center" vertical="center"/>
    </xf>
    <xf fontId="27913" applyFont="true" borderId="8" applyBorder="true" applyNumberFormat="true" numFmtId="2" fillId="22" applyFill="true">
      <alignment horizontal="center" vertical="center"/>
    </xf>
    <xf fontId="27914" applyFont="true" borderId="8" applyBorder="true" applyNumberFormat="true" numFmtId="2" fillId="22" applyFill="true">
      <alignment horizontal="center" vertical="center"/>
    </xf>
    <xf fontId="27915" applyFont="true" borderId="8" applyBorder="true" applyNumberFormat="true" numFmtId="2" fillId="22" applyFill="true">
      <alignment horizontal="center" vertical="center"/>
    </xf>
    <xf fontId="27916" applyFont="true" borderId="8" applyBorder="true" applyNumberFormat="true" numFmtId="2" fillId="22" applyFill="true">
      <alignment horizontal="center" vertical="center"/>
    </xf>
    <xf fontId="27917" applyFont="true" borderId="8" applyBorder="true" applyNumberFormat="true" numFmtId="2" fillId="22" applyFill="true">
      <alignment horizontal="center" vertical="center"/>
    </xf>
    <xf fontId="27918" applyFont="true" borderId="8" applyBorder="true" applyNumberFormat="true" numFmtId="2" fillId="22" applyFill="true">
      <alignment horizontal="center" vertical="center"/>
    </xf>
    <xf fontId="27919" applyFont="true" borderId="8" applyBorder="true" applyNumberFormat="true" numFmtId="2" fillId="22" applyFill="true">
      <alignment horizontal="center" vertical="center"/>
    </xf>
    <xf fontId="27920" applyFont="true" borderId="8" applyBorder="true" applyNumberFormat="true" numFmtId="2" fillId="22" applyFill="true">
      <alignment horizontal="center" vertical="center"/>
    </xf>
    <xf fontId="27921" applyFont="true" borderId="8" applyBorder="true" applyNumberFormat="true" numFmtId="2" fillId="22" applyFill="true">
      <alignment horizontal="center" vertical="center"/>
    </xf>
    <xf fontId="27922" applyFont="true" borderId="8" applyBorder="true" applyNumberFormat="true" numFmtId="2" fillId="22" applyFill="true">
      <alignment horizontal="center" vertical="center"/>
    </xf>
    <xf fontId="27923" applyFont="true" borderId="8" applyBorder="true" applyNumberFormat="true" numFmtId="2" fillId="22" applyFill="true">
      <alignment horizontal="center" vertical="center"/>
    </xf>
    <xf fontId="27924" applyFont="true" borderId="8" applyBorder="true" applyNumberFormat="true" numFmtId="2" fillId="22" applyFill="true">
      <alignment horizontal="center" vertical="center"/>
    </xf>
    <xf fontId="27925" applyFont="true" borderId="8" applyBorder="true" applyNumberFormat="true" numFmtId="2" fillId="22" applyFill="true">
      <alignment horizontal="center" vertical="center"/>
    </xf>
    <xf fontId="27926" applyFont="true" borderId="8" applyBorder="true" applyNumberFormat="true" numFmtId="2" fillId="22" applyFill="true">
      <alignment horizontal="center" vertical="center"/>
    </xf>
    <xf fontId="27927" applyFont="true" borderId="8" applyBorder="true" applyNumberFormat="true" numFmtId="165" fillId="19" applyFill="true">
      <alignment horizontal="left" vertical="center"/>
    </xf>
    <xf fontId="27928" applyFont="true" borderId="8" applyBorder="true" applyNumberFormat="true" numFmtId="165" fillId="22" applyFill="true">
      <alignment horizontal="center" vertical="center"/>
    </xf>
    <xf fontId="27929" applyFont="true" borderId="8" applyBorder="true" applyNumberFormat="true" numFmtId="166" fillId="22" applyFill="true">
      <alignment horizontal="center" vertical="center"/>
    </xf>
    <xf fontId="27930" applyFont="true" borderId="8" applyBorder="true" applyNumberFormat="true" numFmtId="1" fillId="22" applyFill="true">
      <alignment horizontal="center" vertical="center"/>
    </xf>
    <xf fontId="27931" applyFont="true" borderId="8" applyBorder="true" applyNumberFormat="true" numFmtId="1" fillId="22" applyFill="true">
      <alignment horizontal="center" vertical="center"/>
    </xf>
    <xf fontId="27932" applyFont="true" borderId="8" applyBorder="true" applyNumberFormat="true" numFmtId="1" fillId="22" applyFill="true">
      <alignment horizontal="center" vertical="center"/>
    </xf>
    <xf fontId="27933" applyFont="true" borderId="8" applyBorder="true" applyNumberFormat="true" numFmtId="1" fillId="22" applyFill="true">
      <alignment horizontal="center" vertical="center"/>
    </xf>
    <xf fontId="27934" applyFont="true" borderId="8" applyBorder="true" applyNumberFormat="true" numFmtId="1" fillId="22" applyFill="true">
      <alignment horizontal="center" vertical="center"/>
    </xf>
    <xf fontId="27935" applyFont="true" borderId="8" applyBorder="true" applyNumberFormat="true" numFmtId="1" fillId="22" applyFill="true">
      <alignment horizontal="center" vertical="center"/>
    </xf>
    <xf fontId="27936" applyFont="true" borderId="8" applyBorder="true" applyNumberFormat="true" numFmtId="1" fillId="22" applyFill="true">
      <alignment horizontal="center" vertical="center"/>
    </xf>
    <xf fontId="27937" applyFont="true" borderId="8" applyBorder="true" applyNumberFormat="true" numFmtId="165" fillId="22" applyFill="true">
      <alignment horizontal="center" vertical="center"/>
    </xf>
    <xf fontId="27938" applyFont="true" borderId="8" applyBorder="true" applyNumberFormat="true" numFmtId="165" fillId="22" applyFill="true">
      <alignment horizontal="center" vertical="center"/>
    </xf>
    <xf fontId="27939" applyFont="true" borderId="8" applyBorder="true" applyNumberFormat="true" numFmtId="1" fillId="22" applyFill="true">
      <alignment horizontal="center" vertical="center"/>
    </xf>
    <xf fontId="27940" applyFont="true" borderId="8" applyBorder="true" applyNumberFormat="true" numFmtId="1" fillId="22" applyFill="true">
      <alignment horizontal="center" vertical="center"/>
    </xf>
    <xf fontId="27941" applyFont="true" borderId="8" applyBorder="true" applyNumberFormat="true" numFmtId="1" fillId="22" applyFill="true">
      <alignment horizontal="center" vertical="center"/>
    </xf>
    <xf fontId="27942" applyFont="true" borderId="8" applyBorder="true" applyNumberFormat="true" numFmtId="167" fillId="22" applyFill="true">
      <alignment horizontal="center" vertical="center"/>
    </xf>
    <xf fontId="27943" applyFont="true" borderId="8" applyBorder="true" applyNumberFormat="true" numFmtId="1" fillId="22" applyFill="true">
      <alignment horizontal="center" vertical="center"/>
    </xf>
    <xf fontId="27944" applyFont="true" borderId="8" applyBorder="true" applyNumberFormat="true" numFmtId="167" fillId="22" applyFill="true">
      <alignment horizontal="center" vertical="center"/>
    </xf>
    <xf fontId="27945" applyFont="true" borderId="8" applyBorder="true" applyNumberFormat="true" numFmtId="1" fillId="22" applyFill="true">
      <alignment horizontal="center" vertical="center"/>
    </xf>
    <xf fontId="27946" applyFont="true" borderId="8" applyBorder="true" applyNumberFormat="true" numFmtId="167" fillId="22" applyFill="true">
      <alignment horizontal="center" vertical="center"/>
    </xf>
    <xf fontId="27947" applyFont="true" borderId="8" applyBorder="true" applyNumberFormat="true" numFmtId="1" fillId="22" applyFill="true">
      <alignment horizontal="center" vertical="center"/>
    </xf>
    <xf fontId="27948" applyFont="true" borderId="8" applyBorder="true" applyNumberFormat="true" numFmtId="167" fillId="22" applyFill="true">
      <alignment horizontal="center" vertical="center"/>
    </xf>
    <xf fontId="27949" applyFont="true" borderId="8" applyBorder="true" applyNumberFormat="true" numFmtId="167" fillId="22" applyFill="true">
      <alignment horizontal="center" vertical="center"/>
    </xf>
    <xf fontId="27950" applyFont="true" borderId="8" applyBorder="true" applyNumberFormat="true" numFmtId="1" fillId="22" applyFill="true">
      <alignment horizontal="center" vertical="center"/>
    </xf>
    <xf fontId="27951" applyFont="true" borderId="8" applyBorder="true" applyNumberFormat="true" numFmtId="1" fillId="22" applyFill="true">
      <alignment horizontal="center" vertical="center"/>
    </xf>
    <xf fontId="27952" applyFont="true" borderId="8" applyBorder="true" applyNumberFormat="true" numFmtId="1" fillId="22" applyFill="true">
      <alignment horizontal="center" vertical="center"/>
    </xf>
    <xf fontId="27953" applyFont="true" borderId="8" applyBorder="true" applyNumberFormat="true" numFmtId="167" fillId="22" applyFill="true">
      <alignment horizontal="center" vertical="center"/>
    </xf>
    <xf fontId="27954" applyFont="true" borderId="8" applyBorder="true" applyNumberFormat="true" numFmtId="166" fillId="22" applyFill="true">
      <alignment horizontal="center" vertical="center"/>
    </xf>
    <xf fontId="27955" applyFont="true" borderId="8" applyBorder="true" applyNumberFormat="true" numFmtId="166" fillId="22" applyFill="true">
      <alignment horizontal="center" vertical="center"/>
    </xf>
    <xf fontId="27956" applyFont="true" borderId="8" applyBorder="true" applyNumberFormat="true" numFmtId="1" fillId="22" applyFill="true">
      <alignment horizontal="center" vertical="center"/>
    </xf>
    <xf fontId="27957" applyFont="true" borderId="8" applyBorder="true" applyNumberFormat="true" numFmtId="1" fillId="22" applyFill="true">
      <alignment horizontal="center" vertical="center"/>
    </xf>
    <xf fontId="27958" applyFont="true" borderId="8" applyBorder="true" applyNumberFormat="true" numFmtId="1" fillId="22" applyFill="true">
      <alignment horizontal="center" vertical="center"/>
    </xf>
    <xf fontId="27959" applyFont="true" borderId="8" applyBorder="true" applyNumberFormat="true" numFmtId="167" fillId="22" applyFill="true">
      <alignment horizontal="center" vertical="center"/>
    </xf>
    <xf fontId="27960" applyFont="true" borderId="8" applyBorder="true" applyNumberFormat="true" numFmtId="1" fillId="22" applyFill="true">
      <alignment horizontal="center" vertical="center"/>
    </xf>
    <xf fontId="27961" applyFont="true" borderId="8" applyBorder="true" applyNumberFormat="true" numFmtId="167" fillId="22" applyFill="true">
      <alignment horizontal="center" vertical="center"/>
    </xf>
    <xf fontId="27962" applyFont="true" borderId="8" applyBorder="true" applyNumberFormat="true" numFmtId="1" fillId="22" applyFill="true">
      <alignment horizontal="center" vertical="center"/>
    </xf>
    <xf fontId="27963" applyFont="true" borderId="8" applyBorder="true" applyNumberFormat="true" numFmtId="1" fillId="22" applyFill="true">
      <alignment horizontal="center" vertical="center"/>
    </xf>
    <xf fontId="27964" applyFont="true" borderId="8" applyBorder="true" applyNumberFormat="true" numFmtId="1" fillId="22" applyFill="true">
      <alignment horizontal="center" vertical="center"/>
    </xf>
    <xf fontId="27965" applyFont="true" borderId="8" applyBorder="true" applyNumberFormat="true" numFmtId="1" fillId="22" applyFill="true">
      <alignment horizontal="center" vertical="center"/>
    </xf>
    <xf fontId="27966" applyFont="true" borderId="8" applyBorder="true" applyNumberFormat="true" numFmtId="167" fillId="22" applyFill="true">
      <alignment horizontal="center" vertical="center"/>
    </xf>
    <xf fontId="27967" applyFont="true" borderId="8" applyBorder="true" applyNumberFormat="true" numFmtId="1" fillId="22" applyFill="true">
      <alignment horizontal="center" vertical="center"/>
    </xf>
    <xf fontId="27968" applyFont="true" borderId="8" applyBorder="true" applyNumberFormat="true" numFmtId="167" fillId="22" applyFill="true">
      <alignment horizontal="center" vertical="center"/>
    </xf>
    <xf fontId="27969" applyFont="true" borderId="8" applyBorder="true" applyNumberFormat="true" numFmtId="1" fillId="22" applyFill="true">
      <alignment horizontal="center" vertical="center"/>
    </xf>
    <xf fontId="27970" applyFont="true" borderId="8" applyBorder="true" applyNumberFormat="true" numFmtId="167" fillId="22" applyFill="true">
      <alignment horizontal="center" vertical="center"/>
    </xf>
    <xf fontId="27971" applyFont="true" borderId="8" applyBorder="true" applyNumberFormat="true" numFmtId="2" fillId="22" applyFill="true">
      <alignment horizontal="center" vertical="center"/>
    </xf>
    <xf fontId="27972" applyFont="true" borderId="8" applyBorder="true" applyNumberFormat="true" numFmtId="2" fillId="22" applyFill="true">
      <alignment horizontal="center" vertical="center"/>
    </xf>
    <xf fontId="27973" applyFont="true" borderId="8" applyBorder="true" applyNumberFormat="true" numFmtId="2" fillId="22" applyFill="true">
      <alignment horizontal="center" vertical="center"/>
    </xf>
    <xf fontId="27974" applyFont="true" borderId="8" applyBorder="true" applyNumberFormat="true" numFmtId="2" fillId="22" applyFill="true">
      <alignment horizontal="center" vertical="center"/>
    </xf>
    <xf fontId="27975" applyFont="true" borderId="8" applyBorder="true" applyNumberFormat="true" numFmtId="2" fillId="22" applyFill="true">
      <alignment horizontal="center" vertical="center"/>
    </xf>
    <xf fontId="27976" applyFont="true" borderId="8" applyBorder="true" applyNumberFormat="true" numFmtId="2" fillId="22" applyFill="true">
      <alignment horizontal="center" vertical="center"/>
    </xf>
    <xf fontId="27977" applyFont="true" borderId="8" applyBorder="true" applyNumberFormat="true" numFmtId="2" fillId="22" applyFill="true">
      <alignment horizontal="center" vertical="center"/>
    </xf>
    <xf fontId="27978" applyFont="true" borderId="8" applyBorder="true" applyNumberFormat="true" numFmtId="2" fillId="22" applyFill="true">
      <alignment horizontal="center" vertical="center"/>
    </xf>
    <xf fontId="27979" applyFont="true" borderId="8" applyBorder="true" applyNumberFormat="true" numFmtId="2" fillId="22" applyFill="true">
      <alignment horizontal="center" vertical="center"/>
    </xf>
    <xf fontId="27980" applyFont="true" borderId="8" applyBorder="true" applyNumberFormat="true" numFmtId="2" fillId="22" applyFill="true">
      <alignment horizontal="center" vertical="center"/>
    </xf>
    <xf fontId="27981" applyFont="true" borderId="8" applyBorder="true" applyNumberFormat="true" numFmtId="2" fillId="22" applyFill="true">
      <alignment horizontal="center" vertical="center"/>
    </xf>
    <xf fontId="27982" applyFont="true" borderId="8" applyBorder="true" applyNumberFormat="true" numFmtId="2" fillId="22" applyFill="true">
      <alignment horizontal="center" vertical="center"/>
    </xf>
    <xf fontId="27983" applyFont="true" borderId="8" applyBorder="true" applyNumberFormat="true" numFmtId="2" fillId="22" applyFill="true">
      <alignment horizontal="center" vertical="center"/>
    </xf>
    <xf fontId="27984" applyFont="true" borderId="8" applyBorder="true" applyNumberFormat="true" numFmtId="2" fillId="22" applyFill="true">
      <alignment horizontal="center" vertical="center"/>
    </xf>
    <xf fontId="27985" applyFont="true" borderId="8" applyBorder="true" applyNumberFormat="true" numFmtId="2" fillId="22" applyFill="true">
      <alignment horizontal="center" vertical="center"/>
    </xf>
    <xf fontId="27986" applyFont="true" borderId="8" applyBorder="true" applyNumberFormat="true" numFmtId="2" fillId="22" applyFill="true">
      <alignment horizontal="center" vertical="center"/>
    </xf>
    <xf fontId="27987" applyFont="true" borderId="8" applyBorder="true" applyNumberFormat="true" numFmtId="2" fillId="22" applyFill="true">
      <alignment horizontal="center" vertical="center"/>
    </xf>
    <xf fontId="27988" applyFont="true" borderId="8" applyBorder="true" applyNumberFormat="true" numFmtId="2" fillId="22" applyFill="true">
      <alignment horizontal="center" vertical="center"/>
    </xf>
    <xf fontId="27989" applyFont="true" borderId="8" applyBorder="true" applyNumberFormat="true" numFmtId="2" fillId="22" applyFill="true">
      <alignment horizontal="center" vertical="center"/>
    </xf>
    <xf fontId="27990" applyFont="true" borderId="8" applyBorder="true" applyNumberFormat="true" numFmtId="2" fillId="22" applyFill="true">
      <alignment horizontal="center" vertical="center"/>
    </xf>
    <xf fontId="27991" applyFont="true" borderId="8" applyBorder="true" applyNumberFormat="true" numFmtId="2" fillId="22" applyFill="true">
      <alignment horizontal="center" vertical="center"/>
    </xf>
    <xf fontId="27992" applyFont="true" borderId="8" applyBorder="true" applyNumberFormat="true" numFmtId="2" fillId="22" applyFill="true">
      <alignment horizontal="center" vertical="center"/>
    </xf>
    <xf fontId="27993" applyFont="true" borderId="8" applyBorder="true" applyNumberFormat="true" numFmtId="2" fillId="22" applyFill="true">
      <alignment horizontal="center" vertical="center"/>
    </xf>
    <xf fontId="27994" applyFont="true" borderId="8" applyBorder="true" applyNumberFormat="true" numFmtId="2" fillId="22" applyFill="true">
      <alignment horizontal="center" vertical="center"/>
    </xf>
    <xf fontId="27995" applyFont="true" borderId="8" applyBorder="true" applyNumberFormat="true" numFmtId="2" fillId="22" applyFill="true">
      <alignment horizontal="center" vertical="center"/>
    </xf>
    <xf fontId="27996" applyFont="true" borderId="8" applyBorder="true" applyNumberFormat="true" numFmtId="2" fillId="22" applyFill="true">
      <alignment horizontal="center" vertical="center"/>
    </xf>
    <xf fontId="27997" applyFont="true" borderId="8" applyBorder="true" applyNumberFormat="true" numFmtId="2" fillId="22" applyFill="true">
      <alignment horizontal="center" vertical="center"/>
    </xf>
    <xf fontId="27998" applyFont="true" borderId="8" applyBorder="true" applyNumberFormat="true" numFmtId="2" fillId="22" applyFill="true">
      <alignment horizontal="center" vertical="center"/>
    </xf>
    <xf fontId="27999" applyFont="true" borderId="8" applyBorder="true" applyNumberFormat="true" numFmtId="2" fillId="22" applyFill="true">
      <alignment horizontal="center" vertical="center"/>
    </xf>
    <xf fontId="28000" applyFont="true" borderId="8" applyBorder="true" applyNumberFormat="true" numFmtId="2" fillId="22" applyFill="true">
      <alignment horizontal="center" vertical="center"/>
    </xf>
    <xf fontId="28001" applyFont="true" borderId="8" applyBorder="true" applyNumberFormat="true" numFmtId="2" fillId="22" applyFill="true">
      <alignment horizontal="center" vertical="center"/>
    </xf>
    <xf fontId="28002" applyFont="true" borderId="8" applyBorder="true" applyNumberFormat="true" numFmtId="2" fillId="22" applyFill="true">
      <alignment horizontal="center" vertical="center"/>
    </xf>
    <xf fontId="28003" applyFont="true" borderId="8" applyBorder="true" applyNumberFormat="true" numFmtId="2" fillId="22" applyFill="true">
      <alignment horizontal="center" vertical="center"/>
    </xf>
    <xf fontId="28004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</v>
      </c>
      <c r="D2" t="n" s="82">
        <v>200.0</v>
      </c>
      <c r="E2" t="n" s="83">
        <v>3.0</v>
      </c>
      <c r="F2" t="n" s="84">
        <v>21.0</v>
      </c>
      <c r="G2" t="n" s="85">
        <v>0.0</v>
      </c>
      <c r="H2" t="n" s="86">
        <v>1.0</v>
      </c>
      <c r="I2" t="n" s="87">
        <v>69.0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1.0</v>
      </c>
      <c r="M2" t="n" s="91">
        <v>8.0</v>
      </c>
      <c r="N2" t="n" s="92">
        <v>3.0</v>
      </c>
      <c r="O2" t="n" s="93">
        <v>2.0</v>
      </c>
      <c r="P2" s="94">
        <f>IF(HLOOKUP("Shots",A1:CV300,2,FALSE)=0,0,HLOOKUP("SIB",A1:CV300,2,FALSE)/HLOOKUP("Shots",A1:CV300,2,FALSE))</f>
      </c>
      <c r="Q2" t="n" s="95">
        <v>0.0</v>
      </c>
      <c r="R2" s="96">
        <f>IF(HLOOKUP("Shots",A1:CV300,2,FALSE)=0,0,HLOOKUP("S6YD",A1:CV300,2,FALSE)/HLOOKUP("Shots",A1:CV300,2,FALSE))</f>
      </c>
      <c r="S2" t="n" s="97">
        <v>0.0</v>
      </c>
      <c r="T2" s="98">
        <f>IF(HLOOKUP("Shots",A1:CV300,2,FALSE)=0,0,HLOOKUP("Headers",A1:CV300,2,FALSE)/HLOOKUP("Shots",A1:CV300,2,FALSE))</f>
      </c>
      <c r="U2" t="n" s="99">
        <v>1.0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0.0</v>
      </c>
      <c r="AA2" s="105">
        <f>IF(HLOOKUP("KP",A1:CV300,2,FALSE)=0,0,HLOOKUP("As",A1:CV300,2,FALSE)/HLOOKUP("KP",A1:CV300,2,FALSE))</f>
      </c>
      <c r="AB2" t="n" s="106">
        <v>5.5</v>
      </c>
      <c r="AC2" t="n" s="107">
        <v>0.0</v>
      </c>
      <c r="AD2" t="n" s="108">
        <v>0.0</v>
      </c>
      <c r="AE2" t="n" s="109">
        <v>1.0</v>
      </c>
      <c r="AF2" t="n" s="110">
        <v>1.0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0.0</v>
      </c>
      <c r="AP2" s="120">
        <f>IF(HLOOKUP("Gs",A1:CV300,2,FALSE)=0,0,HLOOKUP("GIB",A1:CV300,2,FALSE)/HLOOKUP("Gs",A1:CV300,2,FALSE))</f>
      </c>
      <c r="AQ2" t="n" s="121">
        <v>0.0</v>
      </c>
      <c r="AR2" s="122">
        <f>IF(HLOOKUP("Gs",A1:CV300,2,FALSE)=0,0,HLOOKUP("Gs - Open",A1:CV300,2,FALSE)/HLOOKUP("Gs",A1:CV300,2,FALSE))</f>
      </c>
      <c r="AS2" t="n" s="123">
        <v>0.33</v>
      </c>
      <c r="AT2" t="n" s="124">
        <v>0.05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0.07848098874092102</v>
      </c>
      <c r="BY2" t="n" s="155">
        <v>0.0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224.0</v>
      </c>
      <c r="E3" t="n" s="161">
        <v>4.0</v>
      </c>
      <c r="F3" t="n" s="162">
        <v>31.0</v>
      </c>
      <c r="G3" t="n" s="163">
        <v>1.0</v>
      </c>
      <c r="H3" t="n" s="164">
        <v>5.0</v>
      </c>
      <c r="I3" t="n" s="165">
        <v>111.0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19.0</v>
      </c>
      <c r="N3" t="n" s="170">
        <v>6.0</v>
      </c>
      <c r="O3" t="n" s="171">
        <v>5.0</v>
      </c>
      <c r="P3" s="172">
        <f>IF(HLOOKUP("Shots",A1:CV300,3,FALSE)=0,0,HLOOKUP("SIB",A1:CV300,3,FALSE)/HLOOKUP("Shots",A1:CV300,3,FALSE))</f>
      </c>
      <c r="Q3" t="n" s="173">
        <v>1.0</v>
      </c>
      <c r="R3" s="174">
        <f>IF(HLOOKUP("Shots",A1:CV300,3,FALSE)=0,0,HLOOKUP("S6YD",A1:CV300,3,FALSE)/HLOOKUP("Shots",A1:CV300,3,FALSE))</f>
      </c>
      <c r="S3" t="n" s="175">
        <v>2.0</v>
      </c>
      <c r="T3" s="176">
        <f>IF(HLOOKUP("Shots",A1:CV300,3,FALSE)=0,0,HLOOKUP("Headers",A1:CV300,3,FALSE)/HLOOKUP("Shots",A1:CV300,3,FALSE))</f>
      </c>
      <c r="U3" t="n" s="177">
        <v>5.0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0.0</v>
      </c>
      <c r="Y3" t="n" s="181">
        <v>2.0</v>
      </c>
      <c r="Z3" t="n" s="182">
        <v>2.0</v>
      </c>
      <c r="AA3" s="183">
        <f>IF(HLOOKUP("KP",A1:CV300,3,FALSE)=0,0,HLOOKUP("As",A1:CV300,3,FALSE)/HLOOKUP("KP",A1:CV300,3,FALSE))</f>
      </c>
      <c r="AB3" t="n" s="184">
        <v>21.1</v>
      </c>
      <c r="AC3" t="n" s="185">
        <v>20.0</v>
      </c>
      <c r="AD3" t="n" s="186">
        <v>0.0</v>
      </c>
      <c r="AE3" t="n" s="187">
        <v>3.0</v>
      </c>
      <c r="AF3" t="n" s="188">
        <v>2.0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1.0</v>
      </c>
      <c r="AP3" s="198">
        <f>IF(HLOOKUP("Gs",A1:CV300,3,FALSE)=0,0,HLOOKUP("GIB",A1:CV300,3,FALSE)/HLOOKUP("Gs",A1:CV300,3,FALSE))</f>
      </c>
      <c r="AQ3" t="n" s="199">
        <v>1.0</v>
      </c>
      <c r="AR3" s="200">
        <f>IF(HLOOKUP("Gs",A1:CV300,3,FALSE)=0,0,HLOOKUP("Gs - Open",A1:CV300,3,FALSE)/HLOOKUP("Gs",A1:CV300,3,FALSE))</f>
      </c>
      <c r="AS3" t="n" s="201">
        <v>1.5</v>
      </c>
      <c r="AT3" t="n" s="202">
        <v>0.12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0.4301358759403229</v>
      </c>
      <c r="BY3" t="n" s="233">
        <v>0.051658909767866135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10.100000381469727</v>
      </c>
      <c r="D4" t="n" s="238">
        <v>360.0</v>
      </c>
      <c r="E4" t="n" s="239">
        <v>4.0</v>
      </c>
      <c r="F4" t="n" s="240">
        <v>149.0</v>
      </c>
      <c r="G4" t="n" s="241">
        <v>1.0</v>
      </c>
      <c r="H4" t="n" s="242">
        <v>25.0</v>
      </c>
      <c r="I4" t="n" s="243">
        <v>550.0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7.0</v>
      </c>
      <c r="M4" t="n" s="247">
        <v>19.0</v>
      </c>
      <c r="N4" t="n" s="248">
        <v>8.0</v>
      </c>
      <c r="O4" t="n" s="249">
        <v>7.0</v>
      </c>
      <c r="P4" s="250">
        <f>IF(HLOOKUP("Shots",A1:CV300,4,FALSE)=0,0,HLOOKUP("SIB",A1:CV300,4,FALSE)/HLOOKUP("Shots",A1:CV300,4,FALSE))</f>
      </c>
      <c r="Q4" t="n" s="251">
        <v>1.0</v>
      </c>
      <c r="R4" s="252">
        <f>IF(HLOOKUP("Shots",A1:CV300,4,FALSE)=0,0,HLOOKUP("S6YD",A1:CV300,4,FALSE)/HLOOKUP("Shots",A1:CV300,4,FALSE))</f>
      </c>
      <c r="S4" t="n" s="253">
        <v>1.0</v>
      </c>
      <c r="T4" s="254">
        <f>IF(HLOOKUP("Shots",A1:CV300,4,FALSE)=0,0,HLOOKUP("Headers",A1:CV300,4,FALSE)/HLOOKUP("Shots",A1:CV300,4,FALSE))</f>
      </c>
      <c r="U4" t="n" s="255">
        <v>3.0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1.0</v>
      </c>
      <c r="Y4" t="n" s="259">
        <v>6.0</v>
      </c>
      <c r="Z4" t="n" s="260">
        <v>3.0</v>
      </c>
      <c r="AA4" s="261">
        <f>IF(HLOOKUP("KP",A1:CV300,4,FALSE)=0,0,HLOOKUP("As",A1:CV300,4,FALSE)/HLOOKUP("KP",A1:CV300,4,FALSE))</f>
      </c>
      <c r="AB4" t="n" s="262">
        <v>22.9</v>
      </c>
      <c r="AC4" t="n" s="263">
        <v>100.0</v>
      </c>
      <c r="AD4" t="n" s="264">
        <v>2.0</v>
      </c>
      <c r="AE4" t="n" s="265">
        <v>1.0</v>
      </c>
      <c r="AF4" t="n" s="266">
        <v>0.0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0.0</v>
      </c>
      <c r="AK4" t="n" s="271">
        <v>0.0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1.0</v>
      </c>
      <c r="AP4" s="276">
        <f>IF(HLOOKUP("Gs",A1:CV300,4,FALSE)=0,0,HLOOKUP("GIB",A1:CV300,4,FALSE)/HLOOKUP("Gs",A1:CV300,4,FALSE))</f>
      </c>
      <c r="AQ4" t="n" s="277">
        <v>1.0</v>
      </c>
      <c r="AR4" s="278">
        <f>IF(HLOOKUP("Gs",A1:CV300,4,FALSE)=0,0,HLOOKUP("Gs - Open",A1:CV300,4,FALSE)/HLOOKUP("Gs",A1:CV300,4,FALSE))</f>
      </c>
      <c r="AS4" t="n" s="279">
        <v>1.03</v>
      </c>
      <c r="AT4" t="n" s="280">
        <v>0.57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0.2387901395559311</v>
      </c>
      <c r="BY4" t="n" s="311">
        <v>0.26654037833213806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4.699999809265137</v>
      </c>
      <c r="D5" t="n" s="316">
        <v>293.0</v>
      </c>
      <c r="E5" t="n" s="317">
        <v>6.0</v>
      </c>
      <c r="F5" t="n" s="318">
        <v>65.0</v>
      </c>
      <c r="G5" t="n" s="319">
        <v>0.0</v>
      </c>
      <c r="H5" t="n" s="320">
        <v>9.0</v>
      </c>
      <c r="I5" t="n" s="321">
        <v>202.0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15.0</v>
      </c>
      <c r="N5" t="n" s="326">
        <v>8.0</v>
      </c>
      <c r="O5" t="n" s="327">
        <v>6.0</v>
      </c>
      <c r="P5" s="328">
        <f>IF(HLOOKUP("Shots",A1:CV300,5,FALSE)=0,0,HLOOKUP("SIB",A1:CV300,5,FALSE)/HLOOKUP("Shots",A1:CV300,5,FALSE))</f>
      </c>
      <c r="Q5" t="n" s="329">
        <v>0.0</v>
      </c>
      <c r="R5" s="330">
        <f>IF(HLOOKUP("Shots",A1:CV300,5,FALSE)=0,0,HLOOKUP("S6YD",A1:CV300,5,FALSE)/HLOOKUP("Shots",A1:CV300,5,FALSE))</f>
      </c>
      <c r="S5" t="n" s="331">
        <v>1.0</v>
      </c>
      <c r="T5" s="332">
        <f>IF(HLOOKUP("Shots",A1:CV300,5,FALSE)=0,0,HLOOKUP("Headers",A1:CV300,5,FALSE)/HLOOKUP("Shots",A1:CV300,5,FALSE))</f>
      </c>
      <c r="U5" t="n" s="333">
        <v>1.0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0.0</v>
      </c>
      <c r="Y5" t="n" s="337">
        <v>3.0</v>
      </c>
      <c r="Z5" t="n" s="338">
        <v>2.0</v>
      </c>
      <c r="AA5" s="339">
        <f>IF(HLOOKUP("KP",A1:CV300,5,FALSE)=0,0,HLOOKUP("As",A1:CV300,5,FALSE)/HLOOKUP("KP",A1:CV300,5,FALSE))</f>
      </c>
      <c r="AB5" t="n" s="340">
        <v>13.4</v>
      </c>
      <c r="AC5" t="n" s="341">
        <v>0.0</v>
      </c>
      <c r="AD5" t="n" s="342">
        <v>1.0</v>
      </c>
      <c r="AE5" t="n" s="343">
        <v>3.0</v>
      </c>
      <c r="AF5" t="n" s="344">
        <v>3.0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0.0</v>
      </c>
      <c r="AP5" s="354">
        <f>IF(HLOOKUP("Gs",A1:CV300,5,FALSE)=0,0,HLOOKUP("GIB",A1:CV300,5,FALSE)/HLOOKUP("Gs",A1:CV300,5,FALSE))</f>
      </c>
      <c r="AQ5" t="n" s="355">
        <v>0.0</v>
      </c>
      <c r="AR5" s="356">
        <f>IF(HLOOKUP("Gs",A1:CV300,5,FALSE)=0,0,HLOOKUP("Gs - Open",A1:CV300,5,FALSE)/HLOOKUP("Gs",A1:CV300,5,FALSE))</f>
      </c>
      <c r="AS5" t="n" s="357">
        <v>1.1</v>
      </c>
      <c r="AT5" t="n" s="358">
        <v>0.4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0.4147290289402008</v>
      </c>
      <c r="BY5" t="n" s="389">
        <v>0.19917036592960358</v>
      </c>
      <c r="BZ5" s="390">
        <f>4*HLOOKUP("uXG/90",A1:CV300,5,FALSE)+3*HLOOKUP("uXA/90",A1:CV300,5,FALSE)</f>
      </c>
    </row>
    <row r="6">
      <c r="A6" t="s" s="391">
        <v>86</v>
      </c>
      <c r="B6" t="s" s="392">
        <v>87</v>
      </c>
      <c r="C6" t="n" s="393">
        <v>5.5</v>
      </c>
      <c r="D6" t="n" s="394">
        <v>410.0</v>
      </c>
      <c r="E6" t="n" s="395">
        <v>5.0</v>
      </c>
      <c r="F6" t="n" s="396">
        <v>67.0</v>
      </c>
      <c r="G6" t="n" s="397">
        <v>1.0</v>
      </c>
      <c r="H6" t="n" s="398">
        <v>7.0</v>
      </c>
      <c r="I6" t="n" s="399">
        <v>180.0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24.0</v>
      </c>
      <c r="N6" t="n" s="404">
        <v>9.0</v>
      </c>
      <c r="O6" t="n" s="405">
        <v>9.0</v>
      </c>
      <c r="P6" s="406">
        <f>IF(HLOOKUP("Shots",A1:CV300,6,FALSE)=0,0,HLOOKUP("SIB",A1:CV300,6,FALSE)/HLOOKUP("Shots",A1:CV300,6,FALSE))</f>
      </c>
      <c r="Q6" t="n" s="407">
        <v>0.0</v>
      </c>
      <c r="R6" s="408">
        <f>IF(HLOOKUP("Shots",A1:CV300,6,FALSE)=0,0,HLOOKUP("S6YD",A1:CV300,6,FALSE)/HLOOKUP("Shots",A1:CV300,6,FALSE))</f>
      </c>
      <c r="S6" t="n" s="409">
        <v>2.0</v>
      </c>
      <c r="T6" s="410">
        <f>IF(HLOOKUP("Shots",A1:CV300,6,FALSE)=0,0,HLOOKUP("Headers",A1:CV300,6,FALSE)/HLOOKUP("Shots",A1:CV300,6,FALSE))</f>
      </c>
      <c r="U6" t="n" s="411">
        <v>3.0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0.0</v>
      </c>
      <c r="Y6" t="n" s="415">
        <v>1.0</v>
      </c>
      <c r="Z6" t="n" s="416">
        <v>2.0</v>
      </c>
      <c r="AA6" s="417">
        <f>IF(HLOOKUP("KP",A1:CV300,6,FALSE)=0,0,HLOOKUP("As",A1:CV300,6,FALSE)/HLOOKUP("KP",A1:CV300,6,FALSE))</f>
      </c>
      <c r="AB6" t="n" s="418">
        <v>23.5</v>
      </c>
      <c r="AC6" t="n" s="419">
        <v>25.0</v>
      </c>
      <c r="AD6" t="n" s="420">
        <v>0.0</v>
      </c>
      <c r="AE6" t="n" s="421">
        <v>3.0</v>
      </c>
      <c r="AF6" t="n" s="422">
        <v>2.0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0.0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1.0</v>
      </c>
      <c r="AP6" s="432">
        <f>IF(HLOOKUP("Gs",A1:CV300,6,FALSE)=0,0,HLOOKUP("GIB",A1:CV300,6,FALSE)/HLOOKUP("Gs",A1:CV300,6,FALSE))</f>
      </c>
      <c r="AQ6" t="n" s="433">
        <v>1.0</v>
      </c>
      <c r="AR6" s="434">
        <f>IF(HLOOKUP("Gs",A1:CV300,6,FALSE)=0,0,HLOOKUP("Gs - Open",A1:CV300,6,FALSE)/HLOOKUP("Gs",A1:CV300,6,FALSE))</f>
      </c>
      <c r="AS6" t="n" s="435">
        <v>1.13</v>
      </c>
      <c r="AT6" t="n" s="436">
        <v>0.09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0.22919660806655884</v>
      </c>
      <c r="BY6" t="n" s="467">
        <v>0.018914178013801575</v>
      </c>
      <c r="BZ6" s="468">
        <f>4*HLOOKUP("uXG/90",A1:CV300,6,FALSE)+3*HLOOKUP("uXA/90",A1:CV300,6,FALSE)</f>
      </c>
    </row>
    <row r="7">
      <c r="A7" t="s" s="469">
        <v>88</v>
      </c>
      <c r="B7" t="s" s="470">
        <v>85</v>
      </c>
      <c r="C7" t="n" s="471">
        <v>5.699999809265137</v>
      </c>
      <c r="D7" t="n" s="472">
        <v>279.0</v>
      </c>
      <c r="E7" t="n" s="473">
        <v>6.0</v>
      </c>
      <c r="F7" t="n" s="474">
        <v>47.0</v>
      </c>
      <c r="G7" t="n" s="475">
        <v>2.0</v>
      </c>
      <c r="H7" t="n" s="476">
        <v>4.0</v>
      </c>
      <c r="I7" t="n" s="477">
        <v>168.0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5.0</v>
      </c>
      <c r="M7" t="n" s="481">
        <v>11.0</v>
      </c>
      <c r="N7" t="n" s="482">
        <v>8.0</v>
      </c>
      <c r="O7" t="n" s="483">
        <v>8.0</v>
      </c>
      <c r="P7" s="484">
        <f>IF(HLOOKUP("Shots",A1:CV300,7,FALSE)=0,0,HLOOKUP("SIB",A1:CV300,7,FALSE)/HLOOKUP("Shots",A1:CV300,7,FALSE))</f>
      </c>
      <c r="Q7" t="n" s="485">
        <v>1.0</v>
      </c>
      <c r="R7" s="486">
        <f>IF(HLOOKUP("Shots",A1:CV300,7,FALSE)=0,0,HLOOKUP("S6YD",A1:CV300,7,FALSE)/HLOOKUP("Shots",A1:CV300,7,FALSE))</f>
      </c>
      <c r="S7" t="n" s="487">
        <v>4.0</v>
      </c>
      <c r="T7" s="488">
        <f>IF(HLOOKUP("Shots",A1:CV300,7,FALSE)=0,0,HLOOKUP("Headers",A1:CV300,7,FALSE)/HLOOKUP("Shots",A1:CV300,7,FALSE))</f>
      </c>
      <c r="U7" t="n" s="489">
        <v>5.0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0.0</v>
      </c>
      <c r="Z7" t="n" s="494">
        <v>1.0</v>
      </c>
      <c r="AA7" s="495">
        <f>IF(HLOOKUP("KP",A1:CV300,7,FALSE)=0,0,HLOOKUP("As",A1:CV300,7,FALSE)/HLOOKUP("KP",A1:CV300,7,FALSE))</f>
      </c>
      <c r="AB7" t="n" s="496">
        <v>25.2</v>
      </c>
      <c r="AC7" t="n" s="497">
        <v>50.0</v>
      </c>
      <c r="AD7" t="n" s="498">
        <v>0.0</v>
      </c>
      <c r="AE7" t="n" s="499">
        <v>4.0</v>
      </c>
      <c r="AF7" t="n" s="500">
        <v>2.0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2.0</v>
      </c>
      <c r="AP7" s="510">
        <f>IF(HLOOKUP("Gs",A1:CV300,7,FALSE)=0,0,HLOOKUP("GIB",A1:CV300,7,FALSE)/HLOOKUP("Gs",A1:CV300,7,FALSE))</f>
      </c>
      <c r="AQ7" t="n" s="511">
        <v>2.0</v>
      </c>
      <c r="AR7" s="512">
        <f>IF(HLOOKUP("Gs",A1:CV300,7,FALSE)=0,0,HLOOKUP("Gs - Open",A1:CV300,7,FALSE)/HLOOKUP("Gs",A1:CV300,7,FALSE))</f>
      </c>
      <c r="AS7" t="n" s="513">
        <v>1.63</v>
      </c>
      <c r="AT7" t="n" s="514">
        <v>0.07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0.6554370522499084</v>
      </c>
      <c r="BY7" t="n" s="545">
        <v>0.0037803638260811567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4.400000095367432</v>
      </c>
      <c r="D8" t="n" s="550">
        <v>66.0</v>
      </c>
      <c r="E8" t="n" s="551">
        <v>2.0</v>
      </c>
      <c r="F8" t="n" s="552">
        <v>3.0</v>
      </c>
      <c r="G8" t="n" s="553">
        <v>0.0</v>
      </c>
      <c r="H8" t="n" s="554">
        <v>0.0</v>
      </c>
      <c r="I8" t="n" s="555">
        <v>9.0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0.0</v>
      </c>
      <c r="M8" t="n" s="559">
        <v>2.0</v>
      </c>
      <c r="N8" t="n" s="560">
        <v>0.0</v>
      </c>
      <c r="O8" t="n" s="561">
        <v>0.0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0.0</v>
      </c>
      <c r="T8" s="566">
        <f>IF(HLOOKUP("Shots",A1:CV300,8,FALSE)=0,0,HLOOKUP("Headers",A1:CV300,8,FALSE)/HLOOKUP("Shots",A1:CV300,8,FALSE))</f>
      </c>
      <c r="U8" t="n" s="567">
        <v>0.0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0.0</v>
      </c>
      <c r="Z8" t="n" s="572">
        <v>0.0</v>
      </c>
      <c r="AA8" s="573">
        <f>IF(HLOOKUP("KP",A1:CV300,8,FALSE)=0,0,HLOOKUP("As",A1:CV300,8,FALSE)/HLOOKUP("KP",A1:CV300,8,FALSE))</f>
      </c>
      <c r="AB8" t="n" s="574">
        <v>0.9</v>
      </c>
      <c r="AC8" t="n" s="575">
        <v>0.0</v>
      </c>
      <c r="AD8" t="n" s="576">
        <v>0.0</v>
      </c>
      <c r="AE8" t="n" s="577">
        <v>0.0</v>
      </c>
      <c r="AF8" t="n" s="578">
        <v>0.0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0.0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0.0</v>
      </c>
      <c r="AT8" t="n" s="592">
        <v>0.0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0.0</v>
      </c>
      <c r="BY8" t="n" s="623">
        <v>0.0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7.400000095367432</v>
      </c>
      <c r="D9" t="n" s="628">
        <v>343.0</v>
      </c>
      <c r="E9" t="n" s="629">
        <v>5.0</v>
      </c>
      <c r="F9" t="n" s="630">
        <v>69.0</v>
      </c>
      <c r="G9" t="n" s="631">
        <v>0.0</v>
      </c>
      <c r="H9" t="n" s="632">
        <v>4.0</v>
      </c>
      <c r="I9" t="n" s="633">
        <v>210.0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3.0</v>
      </c>
      <c r="M9" t="n" s="637">
        <v>15.0</v>
      </c>
      <c r="N9" t="n" s="638">
        <v>5.0</v>
      </c>
      <c r="O9" t="n" s="639">
        <v>4.0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1.0</v>
      </c>
      <c r="T9" s="644">
        <f>IF(HLOOKUP("Shots",A1:CV300,9,FALSE)=0,0,HLOOKUP("Headers",A1:CV300,9,FALSE)/HLOOKUP("Shots",A1:CV300,9,FALSE))</f>
      </c>
      <c r="U9" t="n" s="645">
        <v>0.0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3.0</v>
      </c>
      <c r="Z9" t="n" s="650">
        <v>3.0</v>
      </c>
      <c r="AA9" s="651">
        <f>IF(HLOOKUP("KP",A1:CV300,9,FALSE)=0,0,HLOOKUP("As",A1:CV300,9,FALSE)/HLOOKUP("KP",A1:CV300,9,FALSE))</f>
      </c>
      <c r="AB9" t="n" s="652">
        <v>11.1</v>
      </c>
      <c r="AC9" t="n" s="653">
        <v>0.0</v>
      </c>
      <c r="AD9" t="n" s="654">
        <v>1.0</v>
      </c>
      <c r="AE9" t="n" s="655">
        <v>0.0</v>
      </c>
      <c r="AF9" t="n" s="656">
        <v>0.0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0.0</v>
      </c>
      <c r="AP9" s="666">
        <f>IF(HLOOKUP("Gs",A1:CV300,9,FALSE)=0,0,HLOOKUP("GIB",A1:CV300,9,FALSE)/HLOOKUP("Gs",A1:CV300,9,FALSE))</f>
      </c>
      <c r="AQ9" t="n" s="667">
        <v>0.0</v>
      </c>
      <c r="AR9" s="668">
        <f>IF(HLOOKUP("Gs",A1:CV300,9,FALSE)=0,0,HLOOKUP("Gs - Open",A1:CV300,9,FALSE)/HLOOKUP("Gs",A1:CV300,9,FALSE))</f>
      </c>
      <c r="AS9" t="n" s="669">
        <v>0.27</v>
      </c>
      <c r="AT9" t="n" s="670">
        <v>0.36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0.07674157619476318</v>
      </c>
      <c r="BY9" t="n" s="701">
        <v>0.11727579683065414</v>
      </c>
      <c r="BZ9" s="702">
        <f>4*HLOOKUP("uXG/90",A1:CV300,9,FALSE)+3*HLOOKUP("uXA/90",A1:CV300,9,FALSE)</f>
      </c>
    </row>
    <row r="10">
      <c r="A10" t="s" s="703">
        <v>93</v>
      </c>
      <c r="B10" t="s" s="704">
        <v>94</v>
      </c>
      <c r="C10" t="n" s="705">
        <v>10.899999618530273</v>
      </c>
      <c r="D10" t="n" s="706">
        <v>435.0</v>
      </c>
      <c r="E10" t="n" s="707">
        <v>5.0</v>
      </c>
      <c r="F10" t="n" s="708">
        <v>104.0</v>
      </c>
      <c r="G10" t="n" s="709">
        <v>2.0</v>
      </c>
      <c r="H10" t="n" s="710">
        <v>16.0</v>
      </c>
      <c r="I10" t="n" s="711">
        <v>374.0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2.0</v>
      </c>
      <c r="M10" t="n" s="715">
        <v>25.0</v>
      </c>
      <c r="N10" t="n" s="716">
        <v>13.0</v>
      </c>
      <c r="O10" t="n" s="717">
        <v>10.0</v>
      </c>
      <c r="P10" s="718">
        <f>IF(HLOOKUP("Shots",A1:CV300,10,FALSE)=0,0,HLOOKUP("SIB",A1:CV300,10,FALSE)/HLOOKUP("Shots",A1:CV300,10,FALSE))</f>
      </c>
      <c r="Q10" t="n" s="719">
        <v>0.0</v>
      </c>
      <c r="R10" s="720">
        <f>IF(HLOOKUP("Shots",A1:CV300,10,FALSE)=0,0,HLOOKUP("S6YD",A1:CV300,10,FALSE)/HLOOKUP("Shots",A1:CV300,10,FALSE))</f>
      </c>
      <c r="S10" t="n" s="721">
        <v>1.0</v>
      </c>
      <c r="T10" s="722">
        <f>IF(HLOOKUP("Shots",A1:CV300,10,FALSE)=0,0,HLOOKUP("Headers",A1:CV300,10,FALSE)/HLOOKUP("Shots",A1:CV300,10,FALSE))</f>
      </c>
      <c r="U10" t="n" s="723">
        <v>9.0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2.0</v>
      </c>
      <c r="Z10" t="n" s="728">
        <v>7.0</v>
      </c>
      <c r="AA10" s="729">
        <f>IF(HLOOKUP("KP",A1:CV300,10,FALSE)=0,0,HLOOKUP("As",A1:CV300,10,FALSE)/HLOOKUP("KP",A1:CV300,10,FALSE))</f>
      </c>
      <c r="AB10" t="n" s="730">
        <v>42.8</v>
      </c>
      <c r="AC10" t="n" s="731">
        <v>33.0</v>
      </c>
      <c r="AD10" t="n" s="732">
        <v>0.0</v>
      </c>
      <c r="AE10" t="n" s="733">
        <v>2.0</v>
      </c>
      <c r="AF10" t="n" s="734">
        <v>1.0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1.0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2.0</v>
      </c>
      <c r="AP10" s="744">
        <f>IF(HLOOKUP("Gs",A1:CV300,10,FALSE)=0,0,HLOOKUP("GIB",A1:CV300,10,FALSE)/HLOOKUP("Gs",A1:CV300,10,FALSE))</f>
      </c>
      <c r="AQ10" t="n" s="745">
        <v>1.0</v>
      </c>
      <c r="AR10" s="746">
        <f>IF(HLOOKUP("Gs",A1:CV300,10,FALSE)=0,0,HLOOKUP("Gs - Open",A1:CV300,10,FALSE)/HLOOKUP("Gs",A1:CV300,10,FALSE))</f>
      </c>
      <c r="AS10" t="n" s="747">
        <v>1.89</v>
      </c>
      <c r="AT10" t="n" s="748">
        <v>0.61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0.3725362718105316</v>
      </c>
      <c r="BY10" t="n" s="779">
        <v>0.10279320180416107</v>
      </c>
      <c r="BZ10" s="780">
        <f>4*HLOOKUP("uXG/90",A1:CV300,10,FALSE)+3*HLOOKUP("uXA/90",A1:CV300,10,FALSE)</f>
      </c>
    </row>
    <row r="11">
      <c r="A11" t="s" s="781">
        <v>95</v>
      </c>
      <c r="B11" t="s" s="782">
        <v>96</v>
      </c>
      <c r="C11" t="n" s="783">
        <v>5.300000190734863</v>
      </c>
      <c r="D11" t="n" s="784">
        <v>17.0</v>
      </c>
      <c r="E11" t="n" s="785">
        <v>1.0</v>
      </c>
      <c r="F11" t="n" s="786">
        <v>9.0</v>
      </c>
      <c r="G11" t="n" s="787">
        <v>0.0</v>
      </c>
      <c r="H11" t="n" s="788">
        <v>0.0</v>
      </c>
      <c r="I11" t="n" s="789">
        <v>20.0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0.0</v>
      </c>
      <c r="M11" t="n" s="793">
        <v>0.0</v>
      </c>
      <c r="N11" t="n" s="794">
        <v>0.0</v>
      </c>
      <c r="O11" t="n" s="795">
        <v>0.0</v>
      </c>
      <c r="P11" s="796">
        <f>IF(HLOOKUP("Shots",A1:CV300,11,FALSE)=0,0,HLOOKUP("SIB",A1:CV300,11,FALSE)/HLOOKUP("Shots",A1:CV300,11,FALSE))</f>
      </c>
      <c r="Q11" t="n" s="797">
        <v>0.0</v>
      </c>
      <c r="R11" s="798">
        <f>IF(HLOOKUP("Shots",A1:CV300,11,FALSE)=0,0,HLOOKUP("S6YD",A1:CV300,11,FALSE)/HLOOKUP("Shots",A1:CV300,11,FALSE))</f>
      </c>
      <c r="S11" t="n" s="799">
        <v>0.0</v>
      </c>
      <c r="T11" s="800">
        <f>IF(HLOOKUP("Shots",A1:CV300,11,FALSE)=0,0,HLOOKUP("Headers",A1:CV300,11,FALSE)/HLOOKUP("Shots",A1:CV300,11,FALSE))</f>
      </c>
      <c r="U11" t="n" s="801">
        <v>0.0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0.0</v>
      </c>
      <c r="Y11" t="n" s="805">
        <v>1.0</v>
      </c>
      <c r="Z11" t="n" s="806">
        <v>0.0</v>
      </c>
      <c r="AA11" s="807">
        <f>IF(HLOOKUP("KP",A1:CV300,11,FALSE)=0,0,HLOOKUP("As",A1:CV300,11,FALSE)/HLOOKUP("KP",A1:CV300,11,FALSE))</f>
      </c>
      <c r="AB11" t="n" s="808">
        <v>0.3</v>
      </c>
      <c r="AC11" t="n" s="809">
        <v>0.0</v>
      </c>
      <c r="AD11" t="n" s="810">
        <v>0.0</v>
      </c>
      <c r="AE11" t="n" s="811">
        <v>0.0</v>
      </c>
      <c r="AF11" t="n" s="812">
        <v>0.0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0.0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0.0</v>
      </c>
      <c r="AP11" s="822">
        <f>IF(HLOOKUP("Gs",A1:CV300,11,FALSE)=0,0,HLOOKUP("GIB",A1:CV300,11,FALSE)/HLOOKUP("Gs",A1:CV300,11,FALSE))</f>
      </c>
      <c r="AQ11" t="n" s="823">
        <v>0.0</v>
      </c>
      <c r="AR11" s="824">
        <f>IF(HLOOKUP("Gs",A1:CV300,11,FALSE)=0,0,HLOOKUP("Gs - Open",A1:CV300,11,FALSE)/HLOOKUP("Gs",A1:CV300,11,FALSE))</f>
      </c>
      <c r="AS11" t="n" s="825">
        <v>0.0</v>
      </c>
      <c r="AT11" t="n" s="826">
        <v>0.0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0.0</v>
      </c>
      <c r="BY11" t="n" s="857">
        <v>0.0</v>
      </c>
      <c r="BZ11" s="858">
        <f>4*HLOOKUP("uXG/90",A1:CV300,11,FALSE)+3*HLOOKUP("uXA/90",A1:CV300,11,FALSE)</f>
      </c>
    </row>
    <row r="12">
      <c r="A12" t="s" s="859">
        <v>97</v>
      </c>
      <c r="B12" t="s" s="860">
        <v>98</v>
      </c>
      <c r="C12" t="n" s="861">
        <v>4.900000095367432</v>
      </c>
      <c r="D12" t="n" s="862">
        <v>91.0</v>
      </c>
      <c r="E12" t="n" s="863">
        <v>3.0</v>
      </c>
      <c r="F12" t="n" s="864">
        <v>17.0</v>
      </c>
      <c r="G12" t="n" s="865">
        <v>1.0</v>
      </c>
      <c r="H12" t="n" s="866">
        <v>2.0</v>
      </c>
      <c r="I12" t="n" s="867">
        <v>49.0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1.0</v>
      </c>
      <c r="M12" t="n" s="871">
        <v>4.0</v>
      </c>
      <c r="N12" t="n" s="872">
        <v>2.0</v>
      </c>
      <c r="O12" t="n" s="873">
        <v>2.0</v>
      </c>
      <c r="P12" s="874">
        <f>IF(HLOOKUP("Shots",A1:CV300,12,FALSE)=0,0,HLOOKUP("SIB",A1:CV300,12,FALSE)/HLOOKUP("Shots",A1:CV300,12,FALSE))</f>
      </c>
      <c r="Q12" t="n" s="875">
        <v>0.0</v>
      </c>
      <c r="R12" s="876">
        <f>IF(HLOOKUP("Shots",A1:CV300,12,FALSE)=0,0,HLOOKUP("S6YD",A1:CV300,12,FALSE)/HLOOKUP("Shots",A1:CV300,12,FALSE))</f>
      </c>
      <c r="S12" t="n" s="877">
        <v>0.0</v>
      </c>
      <c r="T12" s="878">
        <f>IF(HLOOKUP("Shots",A1:CV300,12,FALSE)=0,0,HLOOKUP("Headers",A1:CV300,12,FALSE)/HLOOKUP("Shots",A1:CV300,12,FALSE))</f>
      </c>
      <c r="U12" t="n" s="879">
        <v>1.0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0.0</v>
      </c>
      <c r="Y12" t="n" s="883">
        <v>0.0</v>
      </c>
      <c r="Z12" t="n" s="884">
        <v>0.0</v>
      </c>
      <c r="AA12" s="885">
        <f>IF(HLOOKUP("KP",A1:CV300,12,FALSE)=0,0,HLOOKUP("As",A1:CV300,12,FALSE)/HLOOKUP("KP",A1:CV300,12,FALSE))</f>
      </c>
      <c r="AB12" t="n" s="886">
        <v>7.8</v>
      </c>
      <c r="AC12" t="n" s="887">
        <v>100.0</v>
      </c>
      <c r="AD12" t="n" s="888">
        <v>0.0</v>
      </c>
      <c r="AE12" t="n" s="889">
        <v>0.0</v>
      </c>
      <c r="AF12" t="n" s="890">
        <v>0.0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0.0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1.0</v>
      </c>
      <c r="AP12" s="900">
        <f>IF(HLOOKUP("Gs",A1:CV300,12,FALSE)=0,0,HLOOKUP("GIB",A1:CV300,12,FALSE)/HLOOKUP("Gs",A1:CV300,12,FALSE))</f>
      </c>
      <c r="AQ12" t="n" s="901">
        <v>0.0</v>
      </c>
      <c r="AR12" s="902">
        <f>IF(HLOOKUP("Gs",A1:CV300,12,FALSE)=0,0,HLOOKUP("Gs - Open",A1:CV300,12,FALSE)/HLOOKUP("Gs",A1:CV300,12,FALSE))</f>
      </c>
      <c r="AS12" t="n" s="903">
        <v>0.18</v>
      </c>
      <c r="AT12" t="n" s="904">
        <v>0.0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0.16521702706813812</v>
      </c>
      <c r="BY12" t="n" s="935">
        <v>0.0</v>
      </c>
      <c r="BZ12" s="936">
        <f>4*HLOOKUP("uXG/90",A1:CV300,12,FALSE)+3*HLOOKUP("uXA/90",A1:CV300,12,FALSE)</f>
      </c>
    </row>
    <row r="13">
      <c r="A13" t="s" s="937">
        <v>99</v>
      </c>
      <c r="B13" t="s" s="938">
        <v>100</v>
      </c>
      <c r="C13" t="n" s="939">
        <v>5.5</v>
      </c>
      <c r="D13" t="n" s="940">
        <v>1.0</v>
      </c>
      <c r="E13" t="n" s="941">
        <v>1.0</v>
      </c>
      <c r="F13" t="n" s="942">
        <v>23.0</v>
      </c>
      <c r="G13" t="n" s="943">
        <v>0.0</v>
      </c>
      <c r="H13" t="n" s="944">
        <v>0.0</v>
      </c>
      <c r="I13" t="n" s="945">
        <v>69.0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1.0</v>
      </c>
      <c r="M13" t="n" s="949">
        <v>2.0</v>
      </c>
      <c r="N13" t="n" s="950">
        <v>0.0</v>
      </c>
      <c r="O13" t="n" s="951">
        <v>0.0</v>
      </c>
      <c r="P13" s="952">
        <f>IF(HLOOKUP("Shots",A1:CV300,13,FALSE)=0,0,HLOOKUP("SIB",A1:CV300,13,FALSE)/HLOOKUP("Shots",A1:CV300,13,FALSE))</f>
      </c>
      <c r="Q13" t="n" s="953">
        <v>0.0</v>
      </c>
      <c r="R13" s="954">
        <f>IF(HLOOKUP("Shots",A1:CV300,13,FALSE)=0,0,HLOOKUP("S6YD",A1:CV300,13,FALSE)/HLOOKUP("Shots",A1:CV300,13,FALSE))</f>
      </c>
      <c r="S13" t="n" s="955">
        <v>0.0</v>
      </c>
      <c r="T13" s="956">
        <f>IF(HLOOKUP("Shots",A1:CV300,13,FALSE)=0,0,HLOOKUP("Headers",A1:CV300,13,FALSE)/HLOOKUP("Shots",A1:CV300,13,FALSE))</f>
      </c>
      <c r="U13" t="n" s="957">
        <v>0.0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0.0</v>
      </c>
      <c r="Y13" t="n" s="961">
        <v>0.0</v>
      </c>
      <c r="Z13" t="n" s="962">
        <v>0.0</v>
      </c>
      <c r="AA13" s="963">
        <f>IF(HLOOKUP("KP",A1:CV300,13,FALSE)=0,0,HLOOKUP("As",A1:CV300,13,FALSE)/HLOOKUP("KP",A1:CV300,13,FALSE))</f>
      </c>
      <c r="AB13" t="n" s="964">
        <v>0.9</v>
      </c>
      <c r="AC13" t="n" s="965">
        <v>0.0</v>
      </c>
      <c r="AD13" t="n" s="966">
        <v>0.0</v>
      </c>
      <c r="AE13" t="n" s="967">
        <v>0.0</v>
      </c>
      <c r="AF13" t="n" s="968">
        <v>0.0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0.0</v>
      </c>
      <c r="AP13" s="978">
        <f>IF(HLOOKUP("Gs",A1:CV300,13,FALSE)=0,0,HLOOKUP("GIB",A1:CV300,13,FALSE)/HLOOKUP("Gs",A1:CV300,13,FALSE))</f>
      </c>
      <c r="AQ13" t="n" s="979">
        <v>0.0</v>
      </c>
      <c r="AR13" s="980">
        <f>IF(HLOOKUP("Gs",A1:CV300,13,FALSE)=0,0,HLOOKUP("Gs - Open",A1:CV300,13,FALSE)/HLOOKUP("Gs",A1:CV300,13,FALSE))</f>
      </c>
      <c r="AS13" t="n" s="981">
        <v>0.0</v>
      </c>
      <c r="AT13" t="n" s="982">
        <v>0.0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0.0</v>
      </c>
      <c r="BY13" t="n" s="1013">
        <v>0.0</v>
      </c>
      <c r="BZ13" s="1014">
        <f>4*HLOOKUP("uXG/90",A1:CV300,13,FALSE)+3*HLOOKUP("uXA/90",A1:CV300,13,FALSE)</f>
      </c>
    </row>
    <row r="14">
      <c r="A14" t="s" s="1015">
        <v>101</v>
      </c>
      <c r="B14" t="s" s="1016">
        <v>102</v>
      </c>
      <c r="C14" t="n" s="1017">
        <v>5.5</v>
      </c>
      <c r="D14" t="n" s="1018">
        <v>500.0</v>
      </c>
      <c r="E14" t="n" s="1019">
        <v>6.0</v>
      </c>
      <c r="F14" t="n" s="1020">
        <v>50.0</v>
      </c>
      <c r="G14" t="n" s="1021">
        <v>0.0</v>
      </c>
      <c r="H14" t="n" s="1022">
        <v>3.0</v>
      </c>
      <c r="I14" t="n" s="1023">
        <v>161.0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3.0</v>
      </c>
      <c r="M14" t="n" s="1027">
        <v>15.0</v>
      </c>
      <c r="N14" t="n" s="1028">
        <v>8.0</v>
      </c>
      <c r="O14" t="n" s="1029">
        <v>6.0</v>
      </c>
      <c r="P14" s="1030">
        <f>IF(HLOOKUP("Shots",A1:CV300,14,FALSE)=0,0,HLOOKUP("SIB",A1:CV300,14,FALSE)/HLOOKUP("Shots",A1:CV300,14,FALSE))</f>
      </c>
      <c r="Q14" t="n" s="1031">
        <v>0.0</v>
      </c>
      <c r="R14" s="1032">
        <f>IF(HLOOKUP("Shots",A1:CV300,14,FALSE)=0,0,HLOOKUP("S6YD",A1:CV300,14,FALSE)/HLOOKUP("Shots",A1:CV300,14,FALSE))</f>
      </c>
      <c r="S14" t="n" s="1033">
        <v>1.0</v>
      </c>
      <c r="T14" s="1034">
        <f>IF(HLOOKUP("Shots",A1:CV300,14,FALSE)=0,0,HLOOKUP("Headers",A1:CV300,14,FALSE)/HLOOKUP("Shots",A1:CV300,14,FALSE))</f>
      </c>
      <c r="U14" t="n" s="1035">
        <v>4.0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1.0</v>
      </c>
      <c r="Y14" t="n" s="1039">
        <v>2.0</v>
      </c>
      <c r="Z14" t="n" s="1040">
        <v>7.0</v>
      </c>
      <c r="AA14" s="1041">
        <f>IF(HLOOKUP("KP",A1:CV300,14,FALSE)=0,0,HLOOKUP("As",A1:CV300,14,FALSE)/HLOOKUP("KP",A1:CV300,14,FALSE))</f>
      </c>
      <c r="AB14" t="n" s="1042">
        <v>27.0</v>
      </c>
      <c r="AC14" t="n" s="1043">
        <v>33.0</v>
      </c>
      <c r="AD14" t="n" s="1044">
        <v>3.0</v>
      </c>
      <c r="AE14" t="n" s="1045">
        <v>2.0</v>
      </c>
      <c r="AF14" t="n" s="1046">
        <v>2.0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0.0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0.0</v>
      </c>
      <c r="AP14" s="1056">
        <f>IF(HLOOKUP("Gs",A1:CV300,14,FALSE)=0,0,HLOOKUP("GIB",A1:CV300,14,FALSE)/HLOOKUP("Gs",A1:CV300,14,FALSE))</f>
      </c>
      <c r="AQ14" t="n" s="1057">
        <v>0.0</v>
      </c>
      <c r="AR14" s="1058">
        <f>IF(HLOOKUP("Gs",A1:CV300,14,FALSE)=0,0,HLOOKUP("Gs - Open",A1:CV300,14,FALSE)/HLOOKUP("Gs",A1:CV300,14,FALSE))</f>
      </c>
      <c r="AS14" t="n" s="1059">
        <v>1.01</v>
      </c>
      <c r="AT14" t="n" s="1060">
        <v>0.72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0.18253850936889648</v>
      </c>
      <c r="BY14" t="n" s="1091">
        <v>0.38054922223091125</v>
      </c>
      <c r="BZ14" s="1092">
        <f>4*HLOOKUP("uXG/90",A1:CV300,14,FALSE)+3*HLOOKUP("uXA/90",A1:CV300,14,FALSE)</f>
      </c>
    </row>
    <row r="15">
      <c r="A15" t="s" s="1093">
        <v>103</v>
      </c>
      <c r="B15" t="s" s="1094">
        <v>98</v>
      </c>
      <c r="C15" t="n" s="1095">
        <v>5.300000190734863</v>
      </c>
      <c r="D15" t="n" s="1096">
        <v>161.0</v>
      </c>
      <c r="E15" t="n" s="1097">
        <v>5.0</v>
      </c>
      <c r="F15" t="n" s="1098">
        <v>30.0</v>
      </c>
      <c r="G15" t="n" s="1099">
        <v>0.0</v>
      </c>
      <c r="H15" t="n" s="1100">
        <v>0.0</v>
      </c>
      <c r="I15" t="n" s="1101">
        <v>68.0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3.0</v>
      </c>
      <c r="M15" t="n" s="1105">
        <v>1.0</v>
      </c>
      <c r="N15" t="n" s="1106">
        <v>1.0</v>
      </c>
      <c r="O15" t="n" s="1107">
        <v>1.0</v>
      </c>
      <c r="P15" s="1108">
        <f>IF(HLOOKUP("Shots",A1:CV300,15,FALSE)=0,0,HLOOKUP("SIB",A1:CV300,15,FALSE)/HLOOKUP("Shots",A1:CV300,15,FALSE))</f>
      </c>
      <c r="Q15" t="n" s="1109">
        <v>0.0</v>
      </c>
      <c r="R15" s="1110">
        <f>IF(HLOOKUP("Shots",A1:CV300,15,FALSE)=0,0,HLOOKUP("S6YD",A1:CV300,15,FALSE)/HLOOKUP("Shots",A1:CV300,15,FALSE))</f>
      </c>
      <c r="S15" t="n" s="1111">
        <v>1.0</v>
      </c>
      <c r="T15" s="1112">
        <f>IF(HLOOKUP("Shots",A1:CV300,15,FALSE)=0,0,HLOOKUP("Headers",A1:CV300,15,FALSE)/HLOOKUP("Shots",A1:CV300,15,FALSE))</f>
      </c>
      <c r="U15" t="n" s="1113">
        <v>0.0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1.0</v>
      </c>
      <c r="Y15" t="n" s="1117">
        <v>2.0</v>
      </c>
      <c r="Z15" t="n" s="1118">
        <v>2.0</v>
      </c>
      <c r="AA15" s="1119">
        <f>IF(HLOOKUP("KP",A1:CV300,15,FALSE)=0,0,HLOOKUP("As",A1:CV300,15,FALSE)/HLOOKUP("KP",A1:CV300,15,FALSE))</f>
      </c>
      <c r="AB15" t="n" s="1120">
        <v>6.6</v>
      </c>
      <c r="AC15" t="n" s="1121">
        <v>33.0</v>
      </c>
      <c r="AD15" t="n" s="1122">
        <v>1.0</v>
      </c>
      <c r="AE15" t="n" s="1123">
        <v>0.0</v>
      </c>
      <c r="AF15" t="n" s="1124">
        <v>0.0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0.0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0.0</v>
      </c>
      <c r="AP15" s="1134">
        <f>IF(HLOOKUP("Gs",A1:CV300,15,FALSE)=0,0,HLOOKUP("GIB",A1:CV300,15,FALSE)/HLOOKUP("Gs",A1:CV300,15,FALSE))</f>
      </c>
      <c r="AQ15" t="n" s="1135">
        <v>0.0</v>
      </c>
      <c r="AR15" s="1136">
        <f>IF(HLOOKUP("Gs",A1:CV300,15,FALSE)=0,0,HLOOKUP("Gs - Open",A1:CV300,15,FALSE)/HLOOKUP("Gs",A1:CV300,15,FALSE))</f>
      </c>
      <c r="AS15" t="n" s="1137">
        <v>0.07</v>
      </c>
      <c r="AT15" t="n" s="1138">
        <v>0.16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0.049282897263765335</v>
      </c>
      <c r="BY15" t="n" s="1169">
        <v>0.19639821350574493</v>
      </c>
      <c r="BZ15" s="1170">
        <f>4*HLOOKUP("uXG/90",A1:CV300,15,FALSE)+3*HLOOKUP("uXA/90",A1:CV300,15,FALSE)</f>
      </c>
    </row>
    <row r="16">
      <c r="A16" t="s" s="1171">
        <v>104</v>
      </c>
      <c r="B16" t="s" s="1172">
        <v>105</v>
      </c>
      <c r="C16" t="n" s="1173">
        <v>9.5</v>
      </c>
      <c r="D16" t="n" s="1174">
        <v>362.0</v>
      </c>
      <c r="E16" t="n" s="1175">
        <v>5.0</v>
      </c>
      <c r="F16" t="n" s="1176">
        <v>84.0</v>
      </c>
      <c r="G16" t="n" s="1177">
        <v>4.0</v>
      </c>
      <c r="H16" t="n" s="1178">
        <v>8.0</v>
      </c>
      <c r="I16" t="n" s="1179">
        <v>304.0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4.0</v>
      </c>
      <c r="M16" t="n" s="1183">
        <v>36.0</v>
      </c>
      <c r="N16" t="n" s="1184">
        <v>19.0</v>
      </c>
      <c r="O16" t="n" s="1185">
        <v>18.0</v>
      </c>
      <c r="P16" s="1186">
        <f>IF(HLOOKUP("Shots",A1:CV300,16,FALSE)=0,0,HLOOKUP("SIB",A1:CV300,16,FALSE)/HLOOKUP("Shots",A1:CV300,16,FALSE))</f>
      </c>
      <c r="Q16" t="n" s="1187">
        <v>2.0</v>
      </c>
      <c r="R16" s="1188">
        <f>IF(HLOOKUP("Shots",A1:CV300,16,FALSE)=0,0,HLOOKUP("S6YD",A1:CV300,16,FALSE)/HLOOKUP("Shots",A1:CV300,16,FALSE))</f>
      </c>
      <c r="S16" t="n" s="1189">
        <v>3.0</v>
      </c>
      <c r="T16" s="1190">
        <f>IF(HLOOKUP("Shots",A1:CV300,16,FALSE)=0,0,HLOOKUP("Headers",A1:CV300,16,FALSE)/HLOOKUP("Shots",A1:CV300,16,FALSE))</f>
      </c>
      <c r="U16" t="n" s="1191">
        <v>11.0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2.0</v>
      </c>
      <c r="Y16" t="n" s="1195">
        <v>4.0</v>
      </c>
      <c r="Z16" t="n" s="1196">
        <v>5.0</v>
      </c>
      <c r="AA16" s="1197">
        <f>IF(HLOOKUP("KP",A1:CV300,16,FALSE)=0,0,HLOOKUP("As",A1:CV300,16,FALSE)/HLOOKUP("KP",A1:CV300,16,FALSE))</f>
      </c>
      <c r="AB16" t="n" s="1198">
        <v>56.7</v>
      </c>
      <c r="AC16" t="n" s="1199">
        <v>43.0</v>
      </c>
      <c r="AD16" t="n" s="1200">
        <v>1.0</v>
      </c>
      <c r="AE16" t="n" s="1201">
        <v>10.0</v>
      </c>
      <c r="AF16" t="n" s="1202">
        <v>7.0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0.0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4.0</v>
      </c>
      <c r="AP16" s="1212">
        <f>IF(HLOOKUP("Gs",A1:CV300,16,FALSE)=0,0,HLOOKUP("GIB",A1:CV300,16,FALSE)/HLOOKUP("Gs",A1:CV300,16,FALSE))</f>
      </c>
      <c r="AQ16" t="n" s="1213">
        <v>4.0</v>
      </c>
      <c r="AR16" s="1214">
        <f>IF(HLOOKUP("Gs",A1:CV300,16,FALSE)=0,0,HLOOKUP("Gs - Open",A1:CV300,16,FALSE)/HLOOKUP("Gs",A1:CV300,16,FALSE))</f>
      </c>
      <c r="AS16" t="n" s="1215">
        <v>3.43</v>
      </c>
      <c r="AT16" t="n" s="1216">
        <v>0.24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1.121646523475647</v>
      </c>
      <c r="BY16" t="n" s="1247">
        <v>0.18837255239486694</v>
      </c>
      <c r="BZ16" s="1248">
        <f>4*HLOOKUP("uXG/90",A1:CV300,16,FALSE)+3*HLOOKUP("uXA/90",A1:CV300,16,FALSE)</f>
      </c>
    </row>
    <row r="17">
      <c r="A17" t="s" s="1249">
        <v>106</v>
      </c>
      <c r="B17" t="s" s="1250">
        <v>107</v>
      </c>
      <c r="C17" t="n" s="1251">
        <v>5.699999809265137</v>
      </c>
      <c r="D17" t="n" s="1252">
        <v>91.0</v>
      </c>
      <c r="E17" t="n" s="1253">
        <v>2.0</v>
      </c>
      <c r="F17" t="n" s="1254">
        <v>13.0</v>
      </c>
      <c r="G17" t="n" s="1255">
        <v>0.0</v>
      </c>
      <c r="H17" t="n" s="1256">
        <v>0.0</v>
      </c>
      <c r="I17" t="n" s="1257">
        <v>42.0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1.0</v>
      </c>
      <c r="M17" t="n" s="1261">
        <v>6.0</v>
      </c>
      <c r="N17" t="n" s="1262">
        <v>2.0</v>
      </c>
      <c r="O17" t="n" s="1263">
        <v>1.0</v>
      </c>
      <c r="P17" s="1264">
        <f>IF(HLOOKUP("Shots",A1:CV300,17,FALSE)=0,0,HLOOKUP("SIB",A1:CV300,17,FALSE)/HLOOKUP("Shots",A1:CV300,17,FALSE))</f>
      </c>
      <c r="Q17" t="n" s="1265">
        <v>0.0</v>
      </c>
      <c r="R17" s="1266">
        <f>IF(HLOOKUP("Shots",A1:CV300,17,FALSE)=0,0,HLOOKUP("S6YD",A1:CV300,17,FALSE)/HLOOKUP("Shots",A1:CV300,17,FALSE))</f>
      </c>
      <c r="S17" t="n" s="1267">
        <v>0.0</v>
      </c>
      <c r="T17" s="1268">
        <f>IF(HLOOKUP("Shots",A1:CV300,17,FALSE)=0,0,HLOOKUP("Headers",A1:CV300,17,FALSE)/HLOOKUP("Shots",A1:CV300,17,FALSE))</f>
      </c>
      <c r="U17" t="n" s="1269">
        <v>0.0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0.0</v>
      </c>
      <c r="Y17" t="n" s="1273">
        <v>0.0</v>
      </c>
      <c r="Z17" t="n" s="1274">
        <v>0.0</v>
      </c>
      <c r="AA17" s="1275">
        <f>IF(HLOOKUP("KP",A1:CV300,17,FALSE)=0,0,HLOOKUP("As",A1:CV300,17,FALSE)/HLOOKUP("KP",A1:CV300,17,FALSE))</f>
      </c>
      <c r="AB17" t="n" s="1276">
        <v>1.5</v>
      </c>
      <c r="AC17" t="n" s="1277">
        <v>0.0</v>
      </c>
      <c r="AD17" t="n" s="1278">
        <v>0.0</v>
      </c>
      <c r="AE17" t="n" s="1279">
        <v>0.0</v>
      </c>
      <c r="AF17" t="n" s="1280">
        <v>0.0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0.0</v>
      </c>
      <c r="AK17" t="n" s="1285">
        <v>0.0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0.0</v>
      </c>
      <c r="AP17" s="1290">
        <f>IF(HLOOKUP("Gs",A1:CV300,17,FALSE)=0,0,HLOOKUP("GIB",A1:CV300,17,FALSE)/HLOOKUP("Gs",A1:CV300,17,FALSE))</f>
      </c>
      <c r="AQ17" t="n" s="1291">
        <v>0.0</v>
      </c>
      <c r="AR17" s="1292">
        <f>IF(HLOOKUP("Gs",A1:CV300,17,FALSE)=0,0,HLOOKUP("Gs - Open",A1:CV300,17,FALSE)/HLOOKUP("Gs",A1:CV300,17,FALSE))</f>
      </c>
      <c r="AS17" t="n" s="1293">
        <v>0.14</v>
      </c>
      <c r="AT17" t="n" s="1294">
        <v>0.01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0.15474741160869598</v>
      </c>
      <c r="BY17" t="n" s="1325">
        <v>0.0</v>
      </c>
      <c r="BZ17" s="1326">
        <f>4*HLOOKUP("uXG/90",A1:CV300,17,FALSE)+3*HLOOKUP("uXA/90",A1:CV300,17,FALSE)</f>
      </c>
    </row>
    <row r="18">
      <c r="A18" t="s" s="1327">
        <v>108</v>
      </c>
      <c r="B18" t="s" s="1328">
        <v>109</v>
      </c>
      <c r="C18" t="n" s="1329">
        <v>5.400000095367432</v>
      </c>
      <c r="D18" t="n" s="1330">
        <v>64.0</v>
      </c>
      <c r="E18" t="n" s="1331">
        <v>3.0</v>
      </c>
      <c r="F18" t="n" s="1332">
        <v>17.0</v>
      </c>
      <c r="G18" t="n" s="1333">
        <v>0.0</v>
      </c>
      <c r="H18" t="n" s="1334">
        <v>0.0</v>
      </c>
      <c r="I18" t="n" s="1335">
        <v>17.0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2.0</v>
      </c>
      <c r="M18" t="n" s="1339">
        <v>6.0</v>
      </c>
      <c r="N18" t="n" s="1340">
        <v>3.0</v>
      </c>
      <c r="O18" t="n" s="1341">
        <v>3.0</v>
      </c>
      <c r="P18" s="1342">
        <f>IF(HLOOKUP("Shots",A1:CV300,18,FALSE)=0,0,HLOOKUP("SIB",A1:CV300,18,FALSE)/HLOOKUP("Shots",A1:CV300,18,FALSE))</f>
      </c>
      <c r="Q18" t="n" s="1343">
        <v>0.0</v>
      </c>
      <c r="R18" s="1344">
        <f>IF(HLOOKUP("Shots",A1:CV300,18,FALSE)=0,0,HLOOKUP("S6YD",A1:CV300,18,FALSE)/HLOOKUP("Shots",A1:CV300,18,FALSE))</f>
      </c>
      <c r="S18" t="n" s="1345">
        <v>1.0</v>
      </c>
      <c r="T18" s="1346">
        <f>IF(HLOOKUP("Shots",A1:CV300,18,FALSE)=0,0,HLOOKUP("Headers",A1:CV300,18,FALSE)/HLOOKUP("Shots",A1:CV300,18,FALSE))</f>
      </c>
      <c r="U18" t="n" s="1347">
        <v>2.0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0.0</v>
      </c>
      <c r="Y18" t="n" s="1351">
        <v>0.0</v>
      </c>
      <c r="Z18" t="n" s="1352">
        <v>0.0</v>
      </c>
      <c r="AA18" s="1353">
        <f>IF(HLOOKUP("KP",A1:CV300,18,FALSE)=0,0,HLOOKUP("As",A1:CV300,18,FALSE)/HLOOKUP("KP",A1:CV300,18,FALSE))</f>
      </c>
      <c r="AB18" t="n" s="1354">
        <v>5.4</v>
      </c>
      <c r="AC18" t="n" s="1355">
        <v>0.0</v>
      </c>
      <c r="AD18" t="n" s="1356">
        <v>0.0</v>
      </c>
      <c r="AE18" t="n" s="1357">
        <v>1.0</v>
      </c>
      <c r="AF18" t="n" s="1358">
        <v>1.0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0.0</v>
      </c>
      <c r="AK18" t="n" s="1363">
        <v>0.0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0.0</v>
      </c>
      <c r="AP18" s="1368">
        <f>IF(HLOOKUP("Gs",A1:CV300,18,FALSE)=0,0,HLOOKUP("GIB",A1:CV300,18,FALSE)/HLOOKUP("Gs",A1:CV300,18,FALSE))</f>
      </c>
      <c r="AQ18" t="n" s="1369">
        <v>0.0</v>
      </c>
      <c r="AR18" s="1370">
        <f>IF(HLOOKUP("Gs",A1:CV300,18,FALSE)=0,0,HLOOKUP("Gs - Open",A1:CV300,18,FALSE)/HLOOKUP("Gs",A1:CV300,18,FALSE))</f>
      </c>
      <c r="AS18" t="n" s="1371">
        <v>0.55</v>
      </c>
      <c r="AT18" t="n" s="1372">
        <v>0.04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1.0226916074752808</v>
      </c>
      <c r="BY18" t="n" s="1403">
        <v>0.0</v>
      </c>
      <c r="BZ18" s="1404">
        <f>4*HLOOKUP("uXG/90",A1:CV300,18,FALSE)+3*HLOOKUP("uXA/90",A1:CV300,18,FALSE)</f>
      </c>
    </row>
    <row r="19">
      <c r="A19" t="s" s="1405">
        <v>110</v>
      </c>
      <c r="B19" t="s" s="1406">
        <v>90</v>
      </c>
      <c r="C19" t="n" s="1407">
        <v>6.5</v>
      </c>
      <c r="D19" t="n" s="1408">
        <v>443.0</v>
      </c>
      <c r="E19" t="n" s="1409">
        <v>5.0</v>
      </c>
      <c r="F19" t="n" s="1410">
        <v>100.0</v>
      </c>
      <c r="G19" t="n" s="1411">
        <v>1.0</v>
      </c>
      <c r="H19" t="n" s="1412">
        <v>16.0</v>
      </c>
      <c r="I19" t="n" s="1413">
        <v>337.0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3.0</v>
      </c>
      <c r="M19" t="n" s="1417">
        <v>24.0</v>
      </c>
      <c r="N19" t="n" s="1418">
        <v>11.0</v>
      </c>
      <c r="O19" t="n" s="1419">
        <v>10.0</v>
      </c>
      <c r="P19" s="1420">
        <f>IF(HLOOKUP("Shots",A1:CV300,19,FALSE)=0,0,HLOOKUP("SIB",A1:CV300,19,FALSE)/HLOOKUP("Shots",A1:CV300,19,FALSE))</f>
      </c>
      <c r="Q19" t="n" s="1421">
        <v>1.0</v>
      </c>
      <c r="R19" s="1422">
        <f>IF(HLOOKUP("Shots",A1:CV300,19,FALSE)=0,0,HLOOKUP("S6YD",A1:CV300,19,FALSE)/HLOOKUP("Shots",A1:CV300,19,FALSE))</f>
      </c>
      <c r="S19" t="n" s="1423">
        <v>1.0</v>
      </c>
      <c r="T19" s="1424">
        <f>IF(HLOOKUP("Shots",A1:CV300,19,FALSE)=0,0,HLOOKUP("Headers",A1:CV300,19,FALSE)/HLOOKUP("Shots",A1:CV300,19,FALSE))</f>
      </c>
      <c r="U19" t="n" s="1425">
        <v>5.0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3.0</v>
      </c>
      <c r="Z19" t="n" s="1430">
        <v>1.0</v>
      </c>
      <c r="AA19" s="1431">
        <f>IF(HLOOKUP("KP",A1:CV300,19,FALSE)=0,0,HLOOKUP("As",A1:CV300,19,FALSE)/HLOOKUP("KP",A1:CV300,19,FALSE))</f>
      </c>
      <c r="AB19" t="n" s="1432">
        <v>25.5</v>
      </c>
      <c r="AC19" t="n" s="1433">
        <v>20.0</v>
      </c>
      <c r="AD19" t="n" s="1434">
        <v>0.0</v>
      </c>
      <c r="AE19" t="n" s="1435">
        <v>3.0</v>
      </c>
      <c r="AF19" t="n" s="1436">
        <v>3.0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0.0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1.0</v>
      </c>
      <c r="AP19" s="1446">
        <f>IF(HLOOKUP("Gs",A1:CV300,19,FALSE)=0,0,HLOOKUP("GIB",A1:CV300,19,FALSE)/HLOOKUP("Gs",A1:CV300,19,FALSE))</f>
      </c>
      <c r="AQ19" t="n" s="1447">
        <v>1.0</v>
      </c>
      <c r="AR19" s="1448">
        <f>IF(HLOOKUP("Gs",A1:CV300,19,FALSE)=0,0,HLOOKUP("Gs - Open",A1:CV300,19,FALSE)/HLOOKUP("Gs",A1:CV300,19,FALSE))</f>
      </c>
      <c r="AS19" t="n" s="1449">
        <v>2.08</v>
      </c>
      <c r="AT19" t="n" s="1450">
        <v>0.09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0.3927060663700104</v>
      </c>
      <c r="BY19" t="n" s="1481">
        <v>0.003916002810001373</v>
      </c>
      <c r="BZ19" s="1482">
        <f>4*HLOOKUP("uXG/90",A1:CV300,19,FALSE)+3*HLOOKUP("uXA/90",A1:CV300,19,FALSE)</f>
      </c>
    </row>
    <row r="20">
      <c r="A20" t="s" s="1483">
        <v>111</v>
      </c>
      <c r="B20" t="s" s="1484">
        <v>112</v>
      </c>
      <c r="C20" t="n" s="1485">
        <v>7.0</v>
      </c>
      <c r="D20" t="n" s="1486">
        <v>389.0</v>
      </c>
      <c r="E20" t="n" s="1487">
        <v>5.0</v>
      </c>
      <c r="F20" t="n" s="1488">
        <v>74.0</v>
      </c>
      <c r="G20" t="n" s="1489">
        <v>2.0</v>
      </c>
      <c r="H20" t="n" s="1490">
        <v>8.0</v>
      </c>
      <c r="I20" t="n" s="1491">
        <v>251.0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5.0</v>
      </c>
      <c r="M20" t="n" s="1495">
        <v>26.0</v>
      </c>
      <c r="N20" t="n" s="1496">
        <v>13.0</v>
      </c>
      <c r="O20" t="n" s="1497">
        <v>12.0</v>
      </c>
      <c r="P20" s="1498">
        <f>IF(HLOOKUP("Shots",A1:CV300,20,FALSE)=0,0,HLOOKUP("SIB",A1:CV300,20,FALSE)/HLOOKUP("Shots",A1:CV300,20,FALSE))</f>
      </c>
      <c r="Q20" t="n" s="1499">
        <v>2.0</v>
      </c>
      <c r="R20" s="1500">
        <f>IF(HLOOKUP("Shots",A1:CV300,20,FALSE)=0,0,HLOOKUP("S6YD",A1:CV300,20,FALSE)/HLOOKUP("Shots",A1:CV300,20,FALSE))</f>
      </c>
      <c r="S20" t="n" s="1501">
        <v>5.0</v>
      </c>
      <c r="T20" s="1502">
        <f>IF(HLOOKUP("Shots",A1:CV300,20,FALSE)=0,0,HLOOKUP("Headers",A1:CV300,20,FALSE)/HLOOKUP("Shots",A1:CV300,20,FALSE))</f>
      </c>
      <c r="U20" t="n" s="1503">
        <v>4.0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0.0</v>
      </c>
      <c r="Y20" t="n" s="1507">
        <v>2.0</v>
      </c>
      <c r="Z20" t="n" s="1508">
        <v>2.0</v>
      </c>
      <c r="AA20" s="1509">
        <f>IF(HLOOKUP("KP",A1:CV300,20,FALSE)=0,0,HLOOKUP("As",A1:CV300,20,FALSE)/HLOOKUP("KP",A1:CV300,20,FALSE))</f>
      </c>
      <c r="AB20" t="n" s="1510">
        <v>28.2</v>
      </c>
      <c r="AC20" t="n" s="1511">
        <v>29.0</v>
      </c>
      <c r="AD20" t="n" s="1512">
        <v>0.0</v>
      </c>
      <c r="AE20" t="n" s="1513">
        <v>1.0</v>
      </c>
      <c r="AF20" t="n" s="1514">
        <v>1.0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0.0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2.0</v>
      </c>
      <c r="AP20" s="1524">
        <f>IF(HLOOKUP("Gs",A1:CV300,20,FALSE)=0,0,HLOOKUP("GIB",A1:CV300,20,FALSE)/HLOOKUP("Gs",A1:CV300,20,FALSE))</f>
      </c>
      <c r="AQ20" t="n" s="1525">
        <v>2.0</v>
      </c>
      <c r="AR20" s="1526">
        <f>IF(HLOOKUP("Gs",A1:CV300,20,FALSE)=0,0,HLOOKUP("Gs - Open",A1:CV300,20,FALSE)/HLOOKUP("Gs",A1:CV300,20,FALSE))</f>
      </c>
      <c r="AS20" t="n" s="1527">
        <v>1.25</v>
      </c>
      <c r="AT20" t="n" s="1528">
        <v>0.47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0.25611260533332825</v>
      </c>
      <c r="BY20" t="n" s="1559">
        <v>0.020609084516763687</v>
      </c>
      <c r="BZ20" s="1560">
        <f>4*HLOOKUP("uXG/90",A1:CV300,20,FALSE)+3*HLOOKUP("uXA/90",A1:CV300,20,FALSE)</f>
      </c>
    </row>
    <row r="21">
      <c r="A21" t="s" s="1561">
        <v>113</v>
      </c>
      <c r="B21" t="s" s="1562">
        <v>114</v>
      </c>
      <c r="C21" t="n" s="1563">
        <v>6.400000095367432</v>
      </c>
      <c r="D21" t="n" s="1564">
        <v>127.0</v>
      </c>
      <c r="E21" t="n" s="1565">
        <v>5.0</v>
      </c>
      <c r="F21" t="n" s="1566">
        <v>22.0</v>
      </c>
      <c r="G21" t="n" s="1567">
        <v>0.0</v>
      </c>
      <c r="H21" t="n" s="1568">
        <v>0.0</v>
      </c>
      <c r="I21" t="n" s="1569">
        <v>40.0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0.0</v>
      </c>
      <c r="M21" t="n" s="1573">
        <v>12.0</v>
      </c>
      <c r="N21" t="n" s="1574">
        <v>6.0</v>
      </c>
      <c r="O21" t="n" s="1575">
        <v>6.0</v>
      </c>
      <c r="P21" s="1576">
        <f>IF(HLOOKUP("Shots",A1:CV300,21,FALSE)=0,0,HLOOKUP("SIB",A1:CV300,21,FALSE)/HLOOKUP("Shots",A1:CV300,21,FALSE))</f>
      </c>
      <c r="Q21" t="n" s="1577">
        <v>1.0</v>
      </c>
      <c r="R21" s="1578">
        <f>IF(HLOOKUP("Shots",A1:CV300,21,FALSE)=0,0,HLOOKUP("S6YD",A1:CV300,21,FALSE)/HLOOKUP("Shots",A1:CV300,21,FALSE))</f>
      </c>
      <c r="S21" t="n" s="1579">
        <v>2.0</v>
      </c>
      <c r="T21" s="1580">
        <f>IF(HLOOKUP("Shots",A1:CV300,21,FALSE)=0,0,HLOOKUP("Headers",A1:CV300,21,FALSE)/HLOOKUP("Shots",A1:CV300,21,FALSE))</f>
      </c>
      <c r="U21" t="n" s="1581">
        <v>3.0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0.0</v>
      </c>
      <c r="Y21" t="n" s="1585">
        <v>1.0</v>
      </c>
      <c r="Z21" t="n" s="1586">
        <v>2.0</v>
      </c>
      <c r="AA21" s="1587">
        <f>IF(HLOOKUP("KP",A1:CV300,21,FALSE)=0,0,HLOOKUP("As",A1:CV300,21,FALSE)/HLOOKUP("KP",A1:CV300,21,FALSE))</f>
      </c>
      <c r="AB21" t="n" s="1588">
        <v>13.3</v>
      </c>
      <c r="AC21" t="n" s="1589">
        <v>0.0</v>
      </c>
      <c r="AD21" t="n" s="1590">
        <v>0.0</v>
      </c>
      <c r="AE21" t="n" s="1591">
        <v>1.0</v>
      </c>
      <c r="AF21" t="n" s="1592">
        <v>1.0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0.0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0.0</v>
      </c>
      <c r="AP21" s="1602">
        <f>IF(HLOOKUP("Gs",A1:CV300,21,FALSE)=0,0,HLOOKUP("GIB",A1:CV300,21,FALSE)/HLOOKUP("Gs",A1:CV300,21,FALSE))</f>
      </c>
      <c r="AQ21" t="n" s="1603">
        <v>0.0</v>
      </c>
      <c r="AR21" s="1604">
        <f>IF(HLOOKUP("Gs",A1:CV300,21,FALSE)=0,0,HLOOKUP("Gs - Open",A1:CV300,21,FALSE)/HLOOKUP("Gs",A1:CV300,21,FALSE))</f>
      </c>
      <c r="AS21" t="n" s="1605">
        <v>0.99</v>
      </c>
      <c r="AT21" t="n" s="1606">
        <v>0.1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0.6280139088630676</v>
      </c>
      <c r="BY21" t="n" s="1637">
        <v>0.11876732110977173</v>
      </c>
      <c r="BZ21" s="1638">
        <f>4*HLOOKUP("uXG/90",A1:CV300,21,FALSE)+3*HLOOKUP("uXA/90",A1:CV300,21,FALSE)</f>
      </c>
    </row>
    <row r="22">
      <c r="A22" t="s" s="1639">
        <v>115</v>
      </c>
      <c r="B22" t="s" s="1640">
        <v>109</v>
      </c>
      <c r="C22" t="n" s="1641">
        <v>5.900000095367432</v>
      </c>
      <c r="D22" t="n" s="1642">
        <v>472.0</v>
      </c>
      <c r="E22" t="n" s="1643">
        <v>6.0</v>
      </c>
      <c r="F22" t="n" s="1644">
        <v>81.0</v>
      </c>
      <c r="G22" t="n" s="1645">
        <v>1.0</v>
      </c>
      <c r="H22" t="n" s="1646">
        <v>12.0</v>
      </c>
      <c r="I22" t="n" s="1647">
        <v>229.0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5.0</v>
      </c>
      <c r="M22" t="n" s="1651">
        <v>29.0</v>
      </c>
      <c r="N22" t="n" s="1652">
        <v>10.0</v>
      </c>
      <c r="O22" t="n" s="1653">
        <v>5.0</v>
      </c>
      <c r="P22" s="1654">
        <f>IF(HLOOKUP("Shots",A1:CV300,22,FALSE)=0,0,HLOOKUP("SIB",A1:CV300,22,FALSE)/HLOOKUP("Shots",A1:CV300,22,FALSE))</f>
      </c>
      <c r="Q22" t="n" s="1655">
        <v>1.0</v>
      </c>
      <c r="R22" s="1656">
        <f>IF(HLOOKUP("Shots",A1:CV300,22,FALSE)=0,0,HLOOKUP("S6YD",A1:CV300,22,FALSE)/HLOOKUP("Shots",A1:CV300,22,FALSE))</f>
      </c>
      <c r="S22" t="n" s="1657">
        <v>1.0</v>
      </c>
      <c r="T22" s="1658">
        <f>IF(HLOOKUP("Shots",A1:CV300,22,FALSE)=0,0,HLOOKUP("Headers",A1:CV300,22,FALSE)/HLOOKUP("Shots",A1:CV300,22,FALSE))</f>
      </c>
      <c r="U22" t="n" s="1659">
        <v>5.0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1.0</v>
      </c>
      <c r="Y22" t="n" s="1663">
        <v>1.0</v>
      </c>
      <c r="Z22" t="n" s="1664">
        <v>2.0</v>
      </c>
      <c r="AA22" s="1665">
        <f>IF(HLOOKUP("KP",A1:CV300,22,FALSE)=0,0,HLOOKUP("As",A1:CV300,22,FALSE)/HLOOKUP("KP",A1:CV300,22,FALSE))</f>
      </c>
      <c r="AB22" t="n" s="1666">
        <v>26.0</v>
      </c>
      <c r="AC22" t="n" s="1667">
        <v>50.0</v>
      </c>
      <c r="AD22" t="n" s="1668">
        <v>0.0</v>
      </c>
      <c r="AE22" t="n" s="1669">
        <v>3.0</v>
      </c>
      <c r="AF22" t="n" s="1670">
        <v>2.0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1.0</v>
      </c>
      <c r="AP22" s="1680">
        <f>IF(HLOOKUP("Gs",A1:CV300,22,FALSE)=0,0,HLOOKUP("GIB",A1:CV300,22,FALSE)/HLOOKUP("Gs",A1:CV300,22,FALSE))</f>
      </c>
      <c r="AQ22" t="n" s="1681">
        <v>1.0</v>
      </c>
      <c r="AR22" s="1682">
        <f>IF(HLOOKUP("Gs",A1:CV300,22,FALSE)=0,0,HLOOKUP("Gs - Open",A1:CV300,22,FALSE)/HLOOKUP("Gs",A1:CV300,22,FALSE))</f>
      </c>
      <c r="AS22" t="n" s="1683">
        <v>1.64</v>
      </c>
      <c r="AT22" t="n" s="1684">
        <v>0.21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0.38088592886924744</v>
      </c>
      <c r="BY22" t="n" s="1715">
        <v>0.03122841939330101</v>
      </c>
      <c r="BZ22" s="1716">
        <f>4*HLOOKUP("uXG/90",A1:CV300,22,FALSE)+3*HLOOKUP("uXA/90",A1:CV300,22,FALSE)</f>
      </c>
    </row>
    <row r="23">
      <c r="A23" t="s" s="1717">
        <v>116</v>
      </c>
      <c r="B23" t="s" s="1718">
        <v>117</v>
      </c>
      <c r="C23" t="n" s="1719">
        <v>6.099999904632568</v>
      </c>
      <c r="D23" t="n" s="1720">
        <v>522.0</v>
      </c>
      <c r="E23" t="n" s="1721">
        <v>6.0</v>
      </c>
      <c r="F23" t="n" s="1722">
        <v>71.0</v>
      </c>
      <c r="G23" t="n" s="1723">
        <v>2.0</v>
      </c>
      <c r="H23" t="n" s="1724">
        <v>9.0</v>
      </c>
      <c r="I23" t="n" s="1725">
        <v>278.0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7.0</v>
      </c>
      <c r="M23" t="n" s="1729">
        <v>45.0</v>
      </c>
      <c r="N23" t="n" s="1730">
        <v>13.0</v>
      </c>
      <c r="O23" t="n" s="1731">
        <v>10.0</v>
      </c>
      <c r="P23" s="1732">
        <f>IF(HLOOKUP("Shots",A1:CV300,23,FALSE)=0,0,HLOOKUP("SIB",A1:CV300,23,FALSE)/HLOOKUP("Shots",A1:CV300,23,FALSE))</f>
      </c>
      <c r="Q23" t="n" s="1733">
        <v>0.0</v>
      </c>
      <c r="R23" s="1734">
        <f>IF(HLOOKUP("Shots",A1:CV300,23,FALSE)=0,0,HLOOKUP("S6YD",A1:CV300,23,FALSE)/HLOOKUP("Shots",A1:CV300,23,FALSE))</f>
      </c>
      <c r="S23" t="n" s="1735">
        <v>0.0</v>
      </c>
      <c r="T23" s="1736">
        <f>IF(HLOOKUP("Shots",A1:CV300,23,FALSE)=0,0,HLOOKUP("Headers",A1:CV300,23,FALSE)/HLOOKUP("Shots",A1:CV300,23,FALSE))</f>
      </c>
      <c r="U23" t="n" s="1737">
        <v>4.0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1.0</v>
      </c>
      <c r="Y23" t="n" s="1741">
        <v>3.0</v>
      </c>
      <c r="Z23" t="n" s="1742">
        <v>11.0</v>
      </c>
      <c r="AA23" s="1743">
        <f>IF(HLOOKUP("KP",A1:CV300,23,FALSE)=0,0,HLOOKUP("As",A1:CV300,23,FALSE)/HLOOKUP("KP",A1:CV300,23,FALSE))</f>
      </c>
      <c r="AB23" t="n" s="1744">
        <v>52.5</v>
      </c>
      <c r="AC23" t="n" s="1745">
        <v>30.0</v>
      </c>
      <c r="AD23" t="n" s="1746">
        <v>0.0</v>
      </c>
      <c r="AE23" t="n" s="1747">
        <v>4.0</v>
      </c>
      <c r="AF23" t="n" s="1748">
        <v>2.0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2.0</v>
      </c>
      <c r="AP23" s="1758">
        <f>IF(HLOOKUP("Gs",A1:CV300,23,FALSE)=0,0,HLOOKUP("GIB",A1:CV300,23,FALSE)/HLOOKUP("Gs",A1:CV300,23,FALSE))</f>
      </c>
      <c r="AQ23" t="n" s="1759">
        <v>2.0</v>
      </c>
      <c r="AR23" s="1760">
        <f>IF(HLOOKUP("Gs",A1:CV300,23,FALSE)=0,0,HLOOKUP("Gs - Open",A1:CV300,23,FALSE)/HLOOKUP("Gs",A1:CV300,23,FALSE))</f>
      </c>
      <c r="AS23" t="n" s="1761">
        <v>1.84</v>
      </c>
      <c r="AT23" t="n" s="1762">
        <v>0.84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0.34460633993148804</v>
      </c>
      <c r="BY23" t="n" s="1793">
        <v>0.14938367903232574</v>
      </c>
      <c r="BZ23" s="1794">
        <f>4*HLOOKUP("uXG/90",A1:CV300,23,FALSE)+3*HLOOKUP("uXA/90",A1:CV300,23,FALSE)</f>
      </c>
    </row>
    <row r="24">
      <c r="A24" t="s" s="1795">
        <v>118</v>
      </c>
      <c r="B24" t="s" s="1796">
        <v>80</v>
      </c>
      <c r="C24" t="n" s="1797">
        <v>10.800000190734863</v>
      </c>
      <c r="D24" t="n" s="1798">
        <v>505.0</v>
      </c>
      <c r="E24" t="n" s="1799">
        <v>6.0</v>
      </c>
      <c r="F24" t="n" s="1800">
        <v>127.0</v>
      </c>
      <c r="G24" t="n" s="1801">
        <v>3.0</v>
      </c>
      <c r="H24" t="n" s="1802">
        <v>24.0</v>
      </c>
      <c r="I24" t="n" s="1803">
        <v>484.0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4.0</v>
      </c>
      <c r="M24" t="n" s="1807">
        <v>34.0</v>
      </c>
      <c r="N24" t="n" s="1808">
        <v>14.0</v>
      </c>
      <c r="O24" t="n" s="1809">
        <v>12.0</v>
      </c>
      <c r="P24" s="1810">
        <f>IF(HLOOKUP("Shots",A1:CV300,24,FALSE)=0,0,HLOOKUP("SIB",A1:CV300,24,FALSE)/HLOOKUP("Shots",A1:CV300,24,FALSE))</f>
      </c>
      <c r="Q24" t="n" s="1811">
        <v>3.0</v>
      </c>
      <c r="R24" s="1812">
        <f>IF(HLOOKUP("Shots",A1:CV300,24,FALSE)=0,0,HLOOKUP("S6YD",A1:CV300,24,FALSE)/HLOOKUP("Shots",A1:CV300,24,FALSE))</f>
      </c>
      <c r="S24" t="n" s="1813">
        <v>2.0</v>
      </c>
      <c r="T24" s="1814">
        <f>IF(HLOOKUP("Shots",A1:CV300,24,FALSE)=0,0,HLOOKUP("Headers",A1:CV300,24,FALSE)/HLOOKUP("Shots",A1:CV300,24,FALSE))</f>
      </c>
      <c r="U24" t="n" s="1815">
        <v>5.0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0.0</v>
      </c>
      <c r="Y24" t="n" s="1819">
        <v>3.0</v>
      </c>
      <c r="Z24" t="n" s="1820">
        <v>2.0</v>
      </c>
      <c r="AA24" s="1821">
        <f>IF(HLOOKUP("KP",A1:CV300,24,FALSE)=0,0,HLOOKUP("As",A1:CV300,24,FALSE)/HLOOKUP("KP",A1:CV300,24,FALSE))</f>
      </c>
      <c r="AB24" t="n" s="1822">
        <v>39.8</v>
      </c>
      <c r="AC24" t="n" s="1823">
        <v>60.0</v>
      </c>
      <c r="AD24" t="n" s="1824">
        <v>0.0</v>
      </c>
      <c r="AE24" t="n" s="1825">
        <v>4.0</v>
      </c>
      <c r="AF24" t="n" s="1826">
        <v>1.0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3.0</v>
      </c>
      <c r="AP24" s="1836">
        <f>IF(HLOOKUP("Gs",A1:CV300,24,FALSE)=0,0,HLOOKUP("GIB",A1:CV300,24,FALSE)/HLOOKUP("Gs",A1:CV300,24,FALSE))</f>
      </c>
      <c r="AQ24" t="n" s="1837">
        <v>2.0</v>
      </c>
      <c r="AR24" s="1838">
        <f>IF(HLOOKUP("Gs",A1:CV300,24,FALSE)=0,0,HLOOKUP("Gs - Open",A1:CV300,24,FALSE)/HLOOKUP("Gs",A1:CV300,24,FALSE))</f>
      </c>
      <c r="AS24" t="n" s="1839">
        <v>1.9</v>
      </c>
      <c r="AT24" t="n" s="1840">
        <v>0.33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0.4360269010066986</v>
      </c>
      <c r="BY24" t="n" s="1871">
        <v>0.03014373406767845</v>
      </c>
      <c r="BZ24" s="1872">
        <f>4*HLOOKUP("uXG/90",A1:CV300,24,FALSE)+3*HLOOKUP("uXA/90",A1:CV300,24,FALSE)</f>
      </c>
    </row>
    <row r="25">
      <c r="A25" t="s" s="1873">
        <v>119</v>
      </c>
      <c r="B25" t="s" s="1874">
        <v>114</v>
      </c>
      <c r="C25" t="n" s="1875">
        <v>5.900000095367432</v>
      </c>
      <c r="D25" t="n" s="1876">
        <v>540.0</v>
      </c>
      <c r="E25" t="n" s="1877">
        <v>6.0</v>
      </c>
      <c r="F25" t="n" s="1878">
        <v>70.0</v>
      </c>
      <c r="G25" t="n" s="1879">
        <v>3.0</v>
      </c>
      <c r="H25" t="n" s="1880">
        <v>9.0</v>
      </c>
      <c r="I25" t="n" s="1881">
        <v>244.0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5.0</v>
      </c>
      <c r="M25" t="n" s="1885">
        <v>34.0</v>
      </c>
      <c r="N25" t="n" s="1886">
        <v>19.0</v>
      </c>
      <c r="O25" t="n" s="1887">
        <v>16.0</v>
      </c>
      <c r="P25" s="1888">
        <f>IF(HLOOKUP("Shots",A1:CV300,25,FALSE)=0,0,HLOOKUP("SIB",A1:CV300,25,FALSE)/HLOOKUP("Shots",A1:CV300,25,FALSE))</f>
      </c>
      <c r="Q25" t="n" s="1889">
        <v>3.0</v>
      </c>
      <c r="R25" s="1890">
        <f>IF(HLOOKUP("Shots",A1:CV300,25,FALSE)=0,0,HLOOKUP("S6YD",A1:CV300,25,FALSE)/HLOOKUP("Shots",A1:CV300,25,FALSE))</f>
      </c>
      <c r="S25" t="n" s="1891">
        <v>8.0</v>
      </c>
      <c r="T25" s="1892">
        <f>IF(HLOOKUP("Shots",A1:CV300,25,FALSE)=0,0,HLOOKUP("Headers",A1:CV300,25,FALSE)/HLOOKUP("Shots",A1:CV300,25,FALSE))</f>
      </c>
      <c r="U25" t="n" s="1893">
        <v>9.0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0.0</v>
      </c>
      <c r="Y25" t="n" s="1897">
        <v>0.0</v>
      </c>
      <c r="Z25" t="n" s="1898">
        <v>5.0</v>
      </c>
      <c r="AA25" s="1899">
        <f>IF(HLOOKUP("KP",A1:CV300,25,FALSE)=0,0,HLOOKUP("As",A1:CV300,25,FALSE)/HLOOKUP("KP",A1:CV300,25,FALSE))</f>
      </c>
      <c r="AB25" t="n" s="1900">
        <v>51.4</v>
      </c>
      <c r="AC25" t="n" s="1901">
        <v>50.0</v>
      </c>
      <c r="AD25" t="n" s="1902">
        <v>1.0</v>
      </c>
      <c r="AE25" t="n" s="1903">
        <v>3.0</v>
      </c>
      <c r="AF25" t="n" s="1904">
        <v>1.0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3.0</v>
      </c>
      <c r="AP25" s="1914">
        <f>IF(HLOOKUP("Gs",A1:CV300,25,FALSE)=0,0,HLOOKUP("GIB",A1:CV300,25,FALSE)/HLOOKUP("Gs",A1:CV300,25,FALSE))</f>
      </c>
      <c r="AQ25" t="n" s="1915">
        <v>1.0</v>
      </c>
      <c r="AR25" s="1916">
        <f>IF(HLOOKUP("Gs",A1:CV300,25,FALSE)=0,0,HLOOKUP("Gs - Open",A1:CV300,25,FALSE)/HLOOKUP("Gs",A1:CV300,25,FALSE))</f>
      </c>
      <c r="AS25" t="n" s="1917">
        <v>2.68</v>
      </c>
      <c r="AT25" t="n" s="1918">
        <v>0.2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0.3988482654094696</v>
      </c>
      <c r="BY25" t="n" s="1949">
        <v>0.11523552238941193</v>
      </c>
      <c r="BZ25" s="1950">
        <f>4*HLOOKUP("uXG/90",A1:CV300,25,FALSE)+3*HLOOKUP("uXA/90",A1:CV300,25,FALSE)</f>
      </c>
    </row>
    <row r="26">
      <c r="A26" t="s" s="1951">
        <v>120</v>
      </c>
      <c r="B26" t="s" s="1952">
        <v>100</v>
      </c>
      <c r="C26" t="n" s="1953">
        <v>5.0</v>
      </c>
      <c r="D26" t="n" s="1954">
        <v>265.0</v>
      </c>
      <c r="E26" t="n" s="1955">
        <v>5.0</v>
      </c>
      <c r="F26" t="n" s="1956">
        <v>27.0</v>
      </c>
      <c r="G26" t="n" s="1957">
        <v>1.0</v>
      </c>
      <c r="H26" t="n" s="1958">
        <v>0.0</v>
      </c>
      <c r="I26" t="n" s="1959">
        <v>91.0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0.0</v>
      </c>
      <c r="L26" t="n" s="1962">
        <v>0.0</v>
      </c>
      <c r="M26" t="n" s="1963">
        <v>16.0</v>
      </c>
      <c r="N26" t="n" s="1964">
        <v>5.0</v>
      </c>
      <c r="O26" t="n" s="1965">
        <v>3.0</v>
      </c>
      <c r="P26" s="1966">
        <f>IF(HLOOKUP("Shots",A1:CV300,26,FALSE)=0,0,HLOOKUP("SIB",A1:CV300,26,FALSE)/HLOOKUP("Shots",A1:CV300,26,FALSE))</f>
      </c>
      <c r="Q26" t="n" s="1967">
        <v>1.0</v>
      </c>
      <c r="R26" s="1968">
        <f>IF(HLOOKUP("Shots",A1:CV300,26,FALSE)=0,0,HLOOKUP("S6YD",A1:CV300,26,FALSE)/HLOOKUP("Shots",A1:CV300,26,FALSE))</f>
      </c>
      <c r="S26" t="n" s="1969">
        <v>1.0</v>
      </c>
      <c r="T26" s="1970">
        <f>IF(HLOOKUP("Shots",A1:CV300,26,FALSE)=0,0,HLOOKUP("Headers",A1:CV300,26,FALSE)/HLOOKUP("Shots",A1:CV300,26,FALSE))</f>
      </c>
      <c r="U26" t="n" s="1971">
        <v>2.0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0.0</v>
      </c>
      <c r="Y26" t="n" s="1975">
        <v>2.0</v>
      </c>
      <c r="Z26" t="n" s="1976">
        <v>3.0</v>
      </c>
      <c r="AA26" s="1977">
        <f>IF(HLOOKUP("KP",A1:CV300,26,FALSE)=0,0,HLOOKUP("As",A1:CV300,26,FALSE)/HLOOKUP("KP",A1:CV300,26,FALSE))</f>
      </c>
      <c r="AB26" t="n" s="1978">
        <v>19.5</v>
      </c>
      <c r="AC26" t="n" s="1979">
        <v>20.0</v>
      </c>
      <c r="AD26" t="n" s="1980">
        <v>1.0</v>
      </c>
      <c r="AE26" t="n" s="1981">
        <v>1.0</v>
      </c>
      <c r="AF26" t="n" s="1982">
        <v>1.0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0.0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0.0</v>
      </c>
      <c r="AP26" s="1992">
        <f>IF(HLOOKUP("Gs",A1:CV300,26,FALSE)=0,0,HLOOKUP("GIB",A1:CV300,26,FALSE)/HLOOKUP("Gs",A1:CV300,26,FALSE))</f>
      </c>
      <c r="AQ26" t="n" s="1993">
        <v>1.0</v>
      </c>
      <c r="AR26" s="1994">
        <f>IF(HLOOKUP("Gs",A1:CV300,26,FALSE)=0,0,HLOOKUP("Gs - Open",A1:CV300,26,FALSE)/HLOOKUP("Gs",A1:CV300,26,FALSE))</f>
      </c>
      <c r="AS26" t="n" s="1995">
        <v>0.5</v>
      </c>
      <c r="AT26" t="n" s="1996">
        <v>0.25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0.15167275071144104</v>
      </c>
      <c r="BY26" t="n" s="2027">
        <v>0.16665509343147278</v>
      </c>
      <c r="BZ26" s="2028">
        <f>4*HLOOKUP("uXG/90",A1:CV300,26,FALSE)+3*HLOOKUP("uXA/90",A1:CV300,26,FALSE)</f>
      </c>
    </row>
    <row r="27">
      <c r="A27" t="s" s="2029">
        <v>121</v>
      </c>
      <c r="B27" t="s" s="2030">
        <v>96</v>
      </c>
      <c r="C27" t="n" s="2031">
        <v>6.199999809265137</v>
      </c>
      <c r="D27" t="n" s="2032">
        <v>519.0</v>
      </c>
      <c r="E27" t="n" s="2033">
        <v>6.0</v>
      </c>
      <c r="F27" t="n" s="2034">
        <v>77.0</v>
      </c>
      <c r="G27" t="n" s="2035">
        <v>2.0</v>
      </c>
      <c r="H27" t="n" s="2036">
        <v>9.0</v>
      </c>
      <c r="I27" t="n" s="2037">
        <v>198.0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1.0</v>
      </c>
      <c r="L27" t="n" s="2040">
        <v>8.0</v>
      </c>
      <c r="M27" t="n" s="2041">
        <v>19.0</v>
      </c>
      <c r="N27" t="n" s="2042">
        <v>10.0</v>
      </c>
      <c r="O27" t="n" s="2043">
        <v>10.0</v>
      </c>
      <c r="P27" s="2044">
        <f>IF(HLOOKUP("Shots",A1:CV300,27,FALSE)=0,0,HLOOKUP("SIB",A1:CV300,27,FALSE)/HLOOKUP("Shots",A1:CV300,27,FALSE))</f>
      </c>
      <c r="Q27" t="n" s="2045">
        <v>5.0</v>
      </c>
      <c r="R27" s="2046">
        <f>IF(HLOOKUP("Shots",A1:CV300,27,FALSE)=0,0,HLOOKUP("S6YD",A1:CV300,27,FALSE)/HLOOKUP("Shots",A1:CV300,27,FALSE))</f>
      </c>
      <c r="S27" t="n" s="2047">
        <v>6.0</v>
      </c>
      <c r="T27" s="2048">
        <f>IF(HLOOKUP("Shots",A1:CV300,27,FALSE)=0,0,HLOOKUP("Headers",A1:CV300,27,FALSE)/HLOOKUP("Shots",A1:CV300,27,FALSE))</f>
      </c>
      <c r="U27" t="n" s="2049">
        <v>3.0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0.0</v>
      </c>
      <c r="Y27" t="n" s="2053">
        <v>0.0</v>
      </c>
      <c r="Z27" t="n" s="2054">
        <v>3.0</v>
      </c>
      <c r="AA27" s="2055">
        <f>IF(HLOOKUP("KP",A1:CV300,27,FALSE)=0,0,HLOOKUP("As",A1:CV300,27,FALSE)/HLOOKUP("KP",A1:CV300,27,FALSE))</f>
      </c>
      <c r="AB27" t="n" s="2056">
        <v>27.0</v>
      </c>
      <c r="AC27" t="n" s="2057">
        <v>67.0</v>
      </c>
      <c r="AD27" t="n" s="2058">
        <v>0.0</v>
      </c>
      <c r="AE27" t="n" s="2059">
        <v>4.0</v>
      </c>
      <c r="AF27" t="n" s="2060">
        <v>2.0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0.0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2.0</v>
      </c>
      <c r="AP27" s="2070">
        <f>IF(HLOOKUP("Gs",A1:CV300,27,FALSE)=0,0,HLOOKUP("GIB",A1:CV300,27,FALSE)/HLOOKUP("Gs",A1:CV300,27,FALSE))</f>
      </c>
      <c r="AQ27" t="n" s="2071">
        <v>1.0</v>
      </c>
      <c r="AR27" s="2072">
        <f>IF(HLOOKUP("Gs",A1:CV300,27,FALSE)=0,0,HLOOKUP("Gs - Open",A1:CV300,27,FALSE)/HLOOKUP("Gs",A1:CV300,27,FALSE))</f>
      </c>
      <c r="AS27" t="n" s="2073">
        <v>2.26</v>
      </c>
      <c r="AT27" t="n" s="2074">
        <v>0.15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0.4273512065410614</v>
      </c>
      <c r="BY27" t="n" s="2105">
        <v>0.012717694975435734</v>
      </c>
      <c r="BZ27" s="2106">
        <f>4*HLOOKUP("uXG/90",A1:CV300,27,FALSE)+3*HLOOKUP("uXA/90",A1:CV300,27,FALSE)</f>
      </c>
    </row>
    <row r="28">
      <c r="A28" t="s" s="2107">
        <v>122</v>
      </c>
      <c r="B28" t="s" s="2108">
        <v>109</v>
      </c>
      <c r="C28" t="n" s="2109">
        <v>4.400000095367432</v>
      </c>
      <c r="D28" t="n" s="2110">
        <v>158.0</v>
      </c>
      <c r="E28" t="n" s="2111">
        <v>3.0</v>
      </c>
      <c r="F28" t="n" s="2112">
        <v>37.0</v>
      </c>
      <c r="G28" t="n" s="2113">
        <v>0.0</v>
      </c>
      <c r="H28" t="n" s="2114">
        <v>3.0</v>
      </c>
      <c r="I28" t="n" s="2115">
        <v>82.0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0.0</v>
      </c>
      <c r="L28" t="n" s="2118">
        <v>2.0</v>
      </c>
      <c r="M28" t="n" s="2119">
        <v>8.0</v>
      </c>
      <c r="N28" t="n" s="2120">
        <v>5.0</v>
      </c>
      <c r="O28" t="n" s="2121">
        <v>2.0</v>
      </c>
      <c r="P28" s="2122">
        <f>IF(HLOOKUP("Shots",A1:CV300,28,FALSE)=0,0,HLOOKUP("SIB",A1:CV300,28,FALSE)/HLOOKUP("Shots",A1:CV300,28,FALSE))</f>
      </c>
      <c r="Q28" t="n" s="2123">
        <v>0.0</v>
      </c>
      <c r="R28" s="2124">
        <f>IF(HLOOKUP("Shots",A1:CV300,28,FALSE)=0,0,HLOOKUP("S6YD",A1:CV300,28,FALSE)/HLOOKUP("Shots",A1:CV300,28,FALSE))</f>
      </c>
      <c r="S28" t="n" s="2125">
        <v>0.0</v>
      </c>
      <c r="T28" s="2126">
        <f>IF(HLOOKUP("Shots",A1:CV300,28,FALSE)=0,0,HLOOKUP("Headers",A1:CV300,28,FALSE)/HLOOKUP("Shots",A1:CV300,28,FALSE))</f>
      </c>
      <c r="U28" t="n" s="2127">
        <v>2.0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0.0</v>
      </c>
      <c r="Y28" t="n" s="2131">
        <v>2.0</v>
      </c>
      <c r="Z28" t="n" s="2132">
        <v>0.0</v>
      </c>
      <c r="AA28" s="2133">
        <f>IF(HLOOKUP("KP",A1:CV300,28,FALSE)=0,0,HLOOKUP("As",A1:CV300,28,FALSE)/HLOOKUP("KP",A1:CV300,28,FALSE))</f>
      </c>
      <c r="AB28" t="n" s="2134">
        <v>6.2</v>
      </c>
      <c r="AC28" t="n" s="2135">
        <v>0.0</v>
      </c>
      <c r="AD28" t="n" s="2136">
        <v>0.0</v>
      </c>
      <c r="AE28" t="n" s="2137">
        <v>2.0</v>
      </c>
      <c r="AF28" t="n" s="2138">
        <v>2.0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0.0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0.0</v>
      </c>
      <c r="AP28" s="2148">
        <f>IF(HLOOKUP("Gs",A1:CV300,28,FALSE)=0,0,HLOOKUP("GIB",A1:CV300,28,FALSE)/HLOOKUP("Gs",A1:CV300,28,FALSE))</f>
      </c>
      <c r="AQ28" t="n" s="2149">
        <v>0.0</v>
      </c>
      <c r="AR28" s="2150">
        <f>IF(HLOOKUP("Gs",A1:CV300,28,FALSE)=0,0,HLOOKUP("Gs - Open",A1:CV300,28,FALSE)/HLOOKUP("Gs",A1:CV300,28,FALSE))</f>
      </c>
      <c r="AS28" t="n" s="2151">
        <v>0.76</v>
      </c>
      <c r="AT28" t="n" s="2152">
        <v>0.02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0.5870293974876404</v>
      </c>
      <c r="BY28" t="n" s="2183">
        <v>0.0</v>
      </c>
      <c r="BZ28" s="2184">
        <f>4*HLOOKUP("uXG/90",A1:CV300,28,FALSE)+3*HLOOKUP("uXA/90",A1:CV300,28,FALSE)</f>
      </c>
    </row>
    <row r="29">
      <c r="A29" t="s" s="2185">
        <v>123</v>
      </c>
      <c r="B29" t="s" s="2186">
        <v>112</v>
      </c>
      <c r="C29" t="n" s="2187">
        <v>5.699999809265137</v>
      </c>
      <c r="D29" t="n" s="2188">
        <v>21.0</v>
      </c>
      <c r="E29" t="n" s="2189">
        <v>2.0</v>
      </c>
      <c r="F29" t="n" s="2190">
        <v>7.0</v>
      </c>
      <c r="G29" t="n" s="2191">
        <v>0.0</v>
      </c>
      <c r="H29" t="n" s="2192">
        <v>0.0</v>
      </c>
      <c r="I29" t="n" s="2193">
        <v>11.0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0.0</v>
      </c>
      <c r="M29" t="n" s="2197">
        <v>2.0</v>
      </c>
      <c r="N29" t="n" s="2198">
        <v>1.0</v>
      </c>
      <c r="O29" t="n" s="2199">
        <v>1.0</v>
      </c>
      <c r="P29" s="2200">
        <f>IF(HLOOKUP("Shots",A1:CV300,29,FALSE)=0,0,HLOOKUP("SIB",A1:CV300,29,FALSE)/HLOOKUP("Shots",A1:CV300,29,FALSE))</f>
      </c>
      <c r="Q29" t="n" s="2201">
        <v>0.0</v>
      </c>
      <c r="R29" s="2202">
        <f>IF(HLOOKUP("Shots",A1:CV300,29,FALSE)=0,0,HLOOKUP("S6YD",A1:CV300,29,FALSE)/HLOOKUP("Shots",A1:CV300,29,FALSE))</f>
      </c>
      <c r="S29" t="n" s="2203">
        <v>0.0</v>
      </c>
      <c r="T29" s="2204">
        <f>IF(HLOOKUP("Shots",A1:CV300,29,FALSE)=0,0,HLOOKUP("Headers",A1:CV300,29,FALSE)/HLOOKUP("Shots",A1:CV300,29,FALSE))</f>
      </c>
      <c r="U29" t="n" s="2205">
        <v>0.0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0.0</v>
      </c>
      <c r="Y29" t="n" s="2209">
        <v>0.0</v>
      </c>
      <c r="Z29" t="n" s="2210">
        <v>0.0</v>
      </c>
      <c r="AA29" s="2211">
        <f>IF(HLOOKUP("KP",A1:CV300,29,FALSE)=0,0,HLOOKUP("As",A1:CV300,29,FALSE)/HLOOKUP("KP",A1:CV300,29,FALSE))</f>
      </c>
      <c r="AB29" t="n" s="2212">
        <v>1.9</v>
      </c>
      <c r="AC29" t="n" s="2213">
        <v>0.0</v>
      </c>
      <c r="AD29" t="n" s="2214">
        <v>0.0</v>
      </c>
      <c r="AE29" t="n" s="2215">
        <v>0.0</v>
      </c>
      <c r="AF29" t="n" s="2216">
        <v>0.0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0.0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0.0</v>
      </c>
      <c r="AP29" s="2226">
        <f>IF(HLOOKUP("Gs",A1:CV300,29,FALSE)=0,0,HLOOKUP("GIB",A1:CV300,29,FALSE)/HLOOKUP("Gs",A1:CV300,29,FALSE))</f>
      </c>
      <c r="AQ29" t="n" s="2227">
        <v>0.0</v>
      </c>
      <c r="AR29" s="2228">
        <f>IF(HLOOKUP("Gs",A1:CV300,29,FALSE)=0,0,HLOOKUP("Gs - Open",A1:CV300,29,FALSE)/HLOOKUP("Gs",A1:CV300,29,FALSE))</f>
      </c>
      <c r="AS29" t="n" s="2229">
        <v>0.07</v>
      </c>
      <c r="AT29" t="n" s="2230">
        <v>0.0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0.39461129903793335</v>
      </c>
      <c r="BY29" t="n" s="2261">
        <v>0.0</v>
      </c>
      <c r="BZ29" s="2262">
        <f>4*HLOOKUP("uXG/90",A1:CV300,29,FALSE)+3*HLOOKUP("uXA/90",A1:CV300,29,FALSE)</f>
      </c>
    </row>
    <row r="30">
      <c r="A30" t="s" s="2263">
        <v>124</v>
      </c>
      <c r="B30" t="s" s="2264">
        <v>100</v>
      </c>
      <c r="C30" t="n" s="2265">
        <v>6.099999904632568</v>
      </c>
      <c r="D30" t="n" s="2266">
        <v>342.0</v>
      </c>
      <c r="E30" t="n" s="2267">
        <v>5.0</v>
      </c>
      <c r="F30" t="n" s="2268">
        <v>53.0</v>
      </c>
      <c r="G30" t="n" s="2269">
        <v>0.0</v>
      </c>
      <c r="H30" t="n" s="2270">
        <v>6.0</v>
      </c>
      <c r="I30" t="n" s="2271">
        <v>166.0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0.0</v>
      </c>
      <c r="L30" t="n" s="2274">
        <v>3.0</v>
      </c>
      <c r="M30" t="n" s="2275">
        <v>20.0</v>
      </c>
      <c r="N30" t="n" s="2276">
        <v>9.0</v>
      </c>
      <c r="O30" t="n" s="2277">
        <v>8.0</v>
      </c>
      <c r="P30" s="2278">
        <f>IF(HLOOKUP("Shots",A1:CV300,30,FALSE)=0,0,HLOOKUP("SIB",A1:CV300,30,FALSE)/HLOOKUP("Shots",A1:CV300,30,FALSE))</f>
      </c>
      <c r="Q30" t="n" s="2279">
        <v>0.0</v>
      </c>
      <c r="R30" s="2280">
        <f>IF(HLOOKUP("Shots",A1:CV300,30,FALSE)=0,0,HLOOKUP("S6YD",A1:CV300,30,FALSE)/HLOOKUP("Shots",A1:CV300,30,FALSE))</f>
      </c>
      <c r="S30" t="n" s="2281">
        <v>2.0</v>
      </c>
      <c r="T30" s="2282">
        <f>IF(HLOOKUP("Shots",A1:CV300,30,FALSE)=0,0,HLOOKUP("Headers",A1:CV300,30,FALSE)/HLOOKUP("Shots",A1:CV300,30,FALSE))</f>
      </c>
      <c r="U30" t="n" s="2283">
        <v>1.0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0.0</v>
      </c>
      <c r="Y30" t="n" s="2287">
        <v>1.0</v>
      </c>
      <c r="Z30" t="n" s="2288">
        <v>4.0</v>
      </c>
      <c r="AA30" s="2289">
        <f>IF(HLOOKUP("KP",A1:CV300,30,FALSE)=0,0,HLOOKUP("As",A1:CV300,30,FALSE)/HLOOKUP("KP",A1:CV300,30,FALSE))</f>
      </c>
      <c r="AB30" t="n" s="2290">
        <v>20.7</v>
      </c>
      <c r="AC30" t="n" s="2291">
        <v>0.0</v>
      </c>
      <c r="AD30" t="n" s="2292">
        <v>0.0</v>
      </c>
      <c r="AE30" t="n" s="2293">
        <v>1.0</v>
      </c>
      <c r="AF30" t="n" s="2294">
        <v>1.0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0.0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0.0</v>
      </c>
      <c r="AP30" s="2304">
        <f>IF(HLOOKUP("Gs",A1:CV300,30,FALSE)=0,0,HLOOKUP("GIB",A1:CV300,30,FALSE)/HLOOKUP("Gs",A1:CV300,30,FALSE))</f>
      </c>
      <c r="AQ30" t="n" s="2305">
        <v>0.0</v>
      </c>
      <c r="AR30" s="2306">
        <f>IF(HLOOKUP("Gs",A1:CV300,30,FALSE)=0,0,HLOOKUP("Gs - Open",A1:CV300,30,FALSE)/HLOOKUP("Gs",A1:CV300,30,FALSE))</f>
      </c>
      <c r="AS30" t="n" s="2307">
        <v>1.05</v>
      </c>
      <c r="AT30" t="n" s="2308">
        <v>0.14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0.24980083107948303</v>
      </c>
      <c r="BY30" t="n" s="2339">
        <v>0.05048549547791481</v>
      </c>
      <c r="BZ30" s="2340">
        <f>4*HLOOKUP("uXG/90",A1:CV300,30,FALSE)+3*HLOOKUP("uXA/90",A1:CV300,30,FALSE)</f>
      </c>
    </row>
    <row r="31">
      <c r="A31" t="s" s="2341">
        <v>125</v>
      </c>
      <c r="B31" t="s" s="2342">
        <v>105</v>
      </c>
      <c r="C31" t="n" s="2343">
        <v>11.800000190734863</v>
      </c>
      <c r="D31" t="n" s="2344">
        <v>186.0</v>
      </c>
      <c r="E31" t="n" s="2345">
        <v>4.0</v>
      </c>
      <c r="F31" t="n" s="2346">
        <v>102.0</v>
      </c>
      <c r="G31" t="n" s="2347">
        <v>4.0</v>
      </c>
      <c r="H31" t="n" s="2348">
        <v>11.0</v>
      </c>
      <c r="I31" t="n" s="2349">
        <v>415.0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3.0</v>
      </c>
      <c r="M31" t="n" s="2353">
        <v>12.0</v>
      </c>
      <c r="N31" t="n" s="2354">
        <v>9.0</v>
      </c>
      <c r="O31" t="n" s="2355">
        <v>7.0</v>
      </c>
      <c r="P31" s="2356">
        <f>IF(HLOOKUP("Shots",A1:CV300,31,FALSE)=0,0,HLOOKUP("SIB",A1:CV300,31,FALSE)/HLOOKUP("Shots",A1:CV300,31,FALSE))</f>
      </c>
      <c r="Q31" t="n" s="2357">
        <v>1.0</v>
      </c>
      <c r="R31" s="2358">
        <f>IF(HLOOKUP("Shots",A1:CV300,31,FALSE)=0,0,HLOOKUP("S6YD",A1:CV300,31,FALSE)/HLOOKUP("Shots",A1:CV300,31,FALSE))</f>
      </c>
      <c r="S31" t="n" s="2359">
        <v>0.0</v>
      </c>
      <c r="T31" s="2360">
        <f>IF(HLOOKUP("Shots",A1:CV300,31,FALSE)=0,0,HLOOKUP("Headers",A1:CV300,31,FALSE)/HLOOKUP("Shots",A1:CV300,31,FALSE))</f>
      </c>
      <c r="U31" t="n" s="2361">
        <v>6.0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1.0</v>
      </c>
      <c r="Y31" t="n" s="2365">
        <v>4.0</v>
      </c>
      <c r="Z31" t="n" s="2366">
        <v>2.0</v>
      </c>
      <c r="AA31" s="2367">
        <f>IF(HLOOKUP("KP",A1:CV300,31,FALSE)=0,0,HLOOKUP("As",A1:CV300,31,FALSE)/HLOOKUP("KP",A1:CV300,31,FALSE))</f>
      </c>
      <c r="AB31" t="n" s="2368">
        <v>34.6</v>
      </c>
      <c r="AC31" t="n" s="2369">
        <v>71.0</v>
      </c>
      <c r="AD31" t="n" s="2370">
        <v>0.0</v>
      </c>
      <c r="AE31" t="n" s="2371">
        <v>3.0</v>
      </c>
      <c r="AF31" t="n" s="2372">
        <v>0.0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3.0</v>
      </c>
      <c r="AP31" s="2382">
        <f>IF(HLOOKUP("Gs",A1:CV300,31,FALSE)=0,0,HLOOKUP("GIB",A1:CV300,31,FALSE)/HLOOKUP("Gs",A1:CV300,31,FALSE))</f>
      </c>
      <c r="AQ31" t="n" s="2383">
        <v>4.0</v>
      </c>
      <c r="AR31" s="2384">
        <f>IF(HLOOKUP("Gs",A1:CV300,31,FALSE)=0,0,HLOOKUP("Gs - Open",A1:CV300,31,FALSE)/HLOOKUP("Gs",A1:CV300,31,FALSE))</f>
      </c>
      <c r="AS31" t="n" s="2385">
        <v>1.66</v>
      </c>
      <c r="AT31" t="n" s="2386">
        <v>0.19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0.8081770539283752</v>
      </c>
      <c r="BY31" t="n" s="2417">
        <v>0.07226905971765518</v>
      </c>
      <c r="BZ31" s="2418">
        <f>4*HLOOKUP("uXG/90",A1:CV300,31,FALSE)+3*HLOOKUP("uXA/90",A1:CV300,31,FALSE)</f>
      </c>
    </row>
    <row r="32">
      <c r="A32" t="s" s="2419">
        <v>126</v>
      </c>
      <c r="B32" t="s" s="2420">
        <v>127</v>
      </c>
      <c r="C32" t="n" s="2421">
        <v>9.300000190734863</v>
      </c>
      <c r="D32" t="n" s="2422">
        <v>444.0</v>
      </c>
      <c r="E32" t="n" s="2423">
        <v>5.0</v>
      </c>
      <c r="F32" t="n" s="2424">
        <v>100.0</v>
      </c>
      <c r="G32" t="n" s="2425">
        <v>3.0</v>
      </c>
      <c r="H32" t="n" s="2426">
        <v>17.0</v>
      </c>
      <c r="I32" t="n" s="2427">
        <v>394.0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0.0</v>
      </c>
      <c r="L32" t="n" s="2430">
        <v>10.0</v>
      </c>
      <c r="M32" t="n" s="2431">
        <v>32.0</v>
      </c>
      <c r="N32" t="n" s="2432">
        <v>17.0</v>
      </c>
      <c r="O32" t="n" s="2433">
        <v>15.0</v>
      </c>
      <c r="P32" s="2434">
        <f>IF(HLOOKUP("Shots",A1:CV300,32,FALSE)=0,0,HLOOKUP("SIB",A1:CV300,32,FALSE)/HLOOKUP("Shots",A1:CV300,32,FALSE))</f>
      </c>
      <c r="Q32" t="n" s="2435">
        <v>3.0</v>
      </c>
      <c r="R32" s="2436">
        <f>IF(HLOOKUP("Shots",A1:CV300,32,FALSE)=0,0,HLOOKUP("S6YD",A1:CV300,32,FALSE)/HLOOKUP("Shots",A1:CV300,32,FALSE))</f>
      </c>
      <c r="S32" t="n" s="2437">
        <v>3.0</v>
      </c>
      <c r="T32" s="2438">
        <f>IF(HLOOKUP("Shots",A1:CV300,32,FALSE)=0,0,HLOOKUP("Headers",A1:CV300,32,FALSE)/HLOOKUP("Shots",A1:CV300,32,FALSE))</f>
      </c>
      <c r="U32" t="n" s="2439">
        <v>7.0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0.0</v>
      </c>
      <c r="Y32" t="n" s="2443">
        <v>5.0</v>
      </c>
      <c r="Z32" t="n" s="2444">
        <v>7.0</v>
      </c>
      <c r="AA32" s="2445">
        <f>IF(HLOOKUP("KP",A1:CV300,32,FALSE)=0,0,HLOOKUP("As",A1:CV300,32,FALSE)/HLOOKUP("KP",A1:CV300,32,FALSE))</f>
      </c>
      <c r="AB32" t="n" s="2446">
        <v>50.2</v>
      </c>
      <c r="AC32" t="n" s="2447">
        <v>33.0</v>
      </c>
      <c r="AD32" t="n" s="2448">
        <v>0.0</v>
      </c>
      <c r="AE32" t="n" s="2449">
        <v>5.0</v>
      </c>
      <c r="AF32" t="n" s="2450">
        <v>2.0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0.0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3.0</v>
      </c>
      <c r="AP32" s="2460">
        <f>IF(HLOOKUP("Gs",A1:CV300,32,FALSE)=0,0,HLOOKUP("GIB",A1:CV300,32,FALSE)/HLOOKUP("Gs",A1:CV300,32,FALSE))</f>
      </c>
      <c r="AQ32" t="n" s="2461">
        <v>2.0</v>
      </c>
      <c r="AR32" s="2462">
        <f>IF(HLOOKUP("Gs",A1:CV300,32,FALSE)=0,0,HLOOKUP("Gs - Open",A1:CV300,32,FALSE)/HLOOKUP("Gs",A1:CV300,32,FALSE))</f>
      </c>
      <c r="AS32" t="n" s="2463">
        <v>2.61</v>
      </c>
      <c r="AT32" t="n" s="2464">
        <v>0.66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0.691028892993927</v>
      </c>
      <c r="BY32" t="n" s="2495">
        <v>0.111597441136837</v>
      </c>
      <c r="BZ32" s="2496">
        <f>4*HLOOKUP("uXG/90",A1:CV300,32,FALSE)+3*HLOOKUP("uXA/90",A1:CV300,32,FALSE)</f>
      </c>
    </row>
    <row r="33">
      <c r="A33" t="s" s="2497">
        <v>128</v>
      </c>
      <c r="B33" t="s" s="2498">
        <v>117</v>
      </c>
      <c r="C33" t="n" s="2499">
        <v>6.199999809265137</v>
      </c>
      <c r="D33" t="n" s="2500">
        <v>515.0</v>
      </c>
      <c r="E33" t="n" s="2501">
        <v>6.0</v>
      </c>
      <c r="F33" t="n" s="2502">
        <v>39.0</v>
      </c>
      <c r="G33" t="n" s="2503">
        <v>4.0</v>
      </c>
      <c r="H33" t="n" s="2504">
        <v>5.0</v>
      </c>
      <c r="I33" t="n" s="2505">
        <v>158.0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0.0</v>
      </c>
      <c r="L33" t="n" s="2508">
        <v>4.0</v>
      </c>
      <c r="M33" t="n" s="2509">
        <v>29.0</v>
      </c>
      <c r="N33" t="n" s="2510">
        <v>14.0</v>
      </c>
      <c r="O33" t="n" s="2511">
        <v>12.0</v>
      </c>
      <c r="P33" s="2512">
        <f>IF(HLOOKUP("Shots",A1:CV300,33,FALSE)=0,0,HLOOKUP("SIB",A1:CV300,33,FALSE)/HLOOKUP("Shots",A1:CV300,33,FALSE))</f>
      </c>
      <c r="Q33" t="n" s="2513">
        <v>2.0</v>
      </c>
      <c r="R33" s="2514">
        <f>IF(HLOOKUP("Shots",A1:CV300,33,FALSE)=0,0,HLOOKUP("S6YD",A1:CV300,33,FALSE)/HLOOKUP("Shots",A1:CV300,33,FALSE))</f>
      </c>
      <c r="S33" t="n" s="2515">
        <v>1.0</v>
      </c>
      <c r="T33" s="2516">
        <f>IF(HLOOKUP("Shots",A1:CV300,33,FALSE)=0,0,HLOOKUP("Headers",A1:CV300,33,FALSE)/HLOOKUP("Shots",A1:CV300,33,FALSE))</f>
      </c>
      <c r="U33" t="n" s="2517">
        <v>7.0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0.0</v>
      </c>
      <c r="Y33" t="n" s="2521">
        <v>0.0</v>
      </c>
      <c r="Z33" t="n" s="2522">
        <v>10.0</v>
      </c>
      <c r="AA33" s="2523">
        <f>IF(HLOOKUP("KP",A1:CV300,33,FALSE)=0,0,HLOOKUP("As",A1:CV300,33,FALSE)/HLOOKUP("KP",A1:CV300,33,FALSE))</f>
      </c>
      <c r="AB33" t="n" s="2524">
        <v>57.8</v>
      </c>
      <c r="AC33" t="n" s="2525">
        <v>36.0</v>
      </c>
      <c r="AD33" t="n" s="2526">
        <v>3.0</v>
      </c>
      <c r="AE33" t="n" s="2527">
        <v>4.0</v>
      </c>
      <c r="AF33" t="n" s="2528">
        <v>1.0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2.0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4.0</v>
      </c>
      <c r="AP33" s="2538">
        <f>IF(HLOOKUP("Gs",A1:CV300,33,FALSE)=0,0,HLOOKUP("GIB",A1:CV300,33,FALSE)/HLOOKUP("Gs",A1:CV300,33,FALSE))</f>
      </c>
      <c r="AQ33" t="n" s="2539">
        <v>2.0</v>
      </c>
      <c r="AR33" s="2540">
        <f>IF(HLOOKUP("Gs",A1:CV300,33,FALSE)=0,0,HLOOKUP("Gs - Open",A1:CV300,33,FALSE)/HLOOKUP("Gs",A1:CV300,33,FALSE))</f>
      </c>
      <c r="AS33" t="n" s="2541">
        <v>2.92</v>
      </c>
      <c r="AT33" t="n" s="2542">
        <v>0.49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0.5764004588127136</v>
      </c>
      <c r="BY33" t="n" s="2573">
        <v>0.27273237705230713</v>
      </c>
      <c r="BZ33" s="2574">
        <f>4*HLOOKUP("uXG/90",A1:CV300,33,FALSE)+3*HLOOKUP("uXA/90",A1:CV300,33,FALSE)</f>
      </c>
    </row>
    <row r="34">
      <c r="A34" t="s" s="2575">
        <v>129</v>
      </c>
      <c r="B34" t="s" s="2576">
        <v>114</v>
      </c>
      <c r="C34" t="n" s="2577">
        <v>4.5</v>
      </c>
      <c r="D34" t="n" s="2578">
        <v>1.0</v>
      </c>
      <c r="E34" t="n" s="2579">
        <v>1.0</v>
      </c>
      <c r="F34" t="n" s="2580">
        <v>1.0</v>
      </c>
      <c r="G34" t="n" s="2581">
        <v>0.0</v>
      </c>
      <c r="H34" t="n" s="2582">
        <v>0.0</v>
      </c>
      <c r="I34" t="n" s="2583">
        <v>2.0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0.0</v>
      </c>
      <c r="L34" t="n" s="2586">
        <v>0.0</v>
      </c>
      <c r="M34" t="n" s="2587">
        <v>0.0</v>
      </c>
      <c r="N34" t="n" s="2588">
        <v>0.0</v>
      </c>
      <c r="O34" t="n" s="2589">
        <v>0.0</v>
      </c>
      <c r="P34" s="2590">
        <f>IF(HLOOKUP("Shots",A1:CV300,34,FALSE)=0,0,HLOOKUP("SIB",A1:CV300,34,FALSE)/HLOOKUP("Shots",A1:CV300,34,FALSE))</f>
      </c>
      <c r="Q34" t="n" s="2591">
        <v>0.0</v>
      </c>
      <c r="R34" s="2592">
        <f>IF(HLOOKUP("Shots",A1:CV300,34,FALSE)=0,0,HLOOKUP("S6YD",A1:CV300,34,FALSE)/HLOOKUP("Shots",A1:CV300,34,FALSE))</f>
      </c>
      <c r="S34" t="n" s="2593">
        <v>0.0</v>
      </c>
      <c r="T34" s="2594">
        <f>IF(HLOOKUP("Shots",A1:CV300,34,FALSE)=0,0,HLOOKUP("Headers",A1:CV300,34,FALSE)/HLOOKUP("Shots",A1:CV300,34,FALSE))</f>
      </c>
      <c r="U34" t="n" s="2595">
        <v>0.0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0.0</v>
      </c>
      <c r="Y34" t="n" s="2599">
        <v>0.0</v>
      </c>
      <c r="Z34" t="n" s="2600">
        <v>0.0</v>
      </c>
      <c r="AA34" s="2601">
        <f>IF(HLOOKUP("KP",A1:CV300,34,FALSE)=0,0,HLOOKUP("As",A1:CV300,34,FALSE)/HLOOKUP("KP",A1:CV300,34,FALSE))</f>
      </c>
      <c r="AB34" t="n" s="2602">
        <v>0.3</v>
      </c>
      <c r="AC34" t="n" s="2603">
        <v>0.0</v>
      </c>
      <c r="AD34" t="n" s="2604">
        <v>0.0</v>
      </c>
      <c r="AE34" t="n" s="2605">
        <v>0.0</v>
      </c>
      <c r="AF34" t="n" s="2606">
        <v>0.0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0.0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0.0</v>
      </c>
      <c r="AP34" s="2616">
        <f>IF(HLOOKUP("Gs",A1:CV300,34,FALSE)=0,0,HLOOKUP("GIB",A1:CV300,34,FALSE)/HLOOKUP("Gs",A1:CV300,34,FALSE))</f>
      </c>
      <c r="AQ34" t="n" s="2617">
        <v>0.0</v>
      </c>
      <c r="AR34" s="2618">
        <f>IF(HLOOKUP("Gs",A1:CV300,34,FALSE)=0,0,HLOOKUP("Gs - Open",A1:CV300,34,FALSE)/HLOOKUP("Gs",A1:CV300,34,FALSE))</f>
      </c>
      <c r="AS34" t="n" s="2619">
        <v>0.0</v>
      </c>
      <c r="AT34" t="n" s="2620">
        <v>0.0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0.0</v>
      </c>
      <c r="BY34" t="n" s="2651">
        <v>0.0</v>
      </c>
      <c r="BZ34" s="2652">
        <f>4*HLOOKUP("uXG/90",A1:CV300,34,FALSE)+3*HLOOKUP("uXA/90",A1:CV300,34,FALSE)</f>
      </c>
    </row>
    <row r="35">
      <c r="A35" t="s" s="2653">
        <v>130</v>
      </c>
      <c r="B35" t="s" s="2654">
        <v>92</v>
      </c>
      <c r="C35" t="n" s="2655">
        <v>6.099999904632568</v>
      </c>
      <c r="D35" t="n" s="2656">
        <v>304.0</v>
      </c>
      <c r="E35" t="n" s="2657">
        <v>4.0</v>
      </c>
      <c r="F35" t="n" s="2658">
        <v>58.0</v>
      </c>
      <c r="G35" t="n" s="2659">
        <v>0.0</v>
      </c>
      <c r="H35" t="n" s="2660">
        <v>6.0</v>
      </c>
      <c r="I35" t="n" s="2661">
        <v>176.0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0.0</v>
      </c>
      <c r="L35" t="n" s="2664">
        <v>3.0</v>
      </c>
      <c r="M35" t="n" s="2665">
        <v>14.0</v>
      </c>
      <c r="N35" t="n" s="2666">
        <v>4.0</v>
      </c>
      <c r="O35" t="n" s="2667">
        <v>4.0</v>
      </c>
      <c r="P35" s="2668">
        <f>IF(HLOOKUP("Shots",A1:CV300,35,FALSE)=0,0,HLOOKUP("SIB",A1:CV300,35,FALSE)/HLOOKUP("Shots",A1:CV300,35,FALSE))</f>
      </c>
      <c r="Q35" t="n" s="2669">
        <v>1.0</v>
      </c>
      <c r="R35" s="2670">
        <f>IF(HLOOKUP("Shots",A1:CV300,35,FALSE)=0,0,HLOOKUP("S6YD",A1:CV300,35,FALSE)/HLOOKUP("Shots",A1:CV300,35,FALSE))</f>
      </c>
      <c r="S35" t="n" s="2671">
        <v>0.0</v>
      </c>
      <c r="T35" s="2672">
        <f>IF(HLOOKUP("Shots",A1:CV300,35,FALSE)=0,0,HLOOKUP("Headers",A1:CV300,35,FALSE)/HLOOKUP("Shots",A1:CV300,35,FALSE))</f>
      </c>
      <c r="U35" t="n" s="2673">
        <v>2.0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0.0</v>
      </c>
      <c r="Y35" t="n" s="2677">
        <v>3.0</v>
      </c>
      <c r="Z35" t="n" s="2678">
        <v>2.0</v>
      </c>
      <c r="AA35" s="2679">
        <f>IF(HLOOKUP("KP",A1:CV300,35,FALSE)=0,0,HLOOKUP("As",A1:CV300,35,FALSE)/HLOOKUP("KP",A1:CV300,35,FALSE))</f>
      </c>
      <c r="AB35" t="n" s="2680">
        <v>15.5</v>
      </c>
      <c r="AC35" t="n" s="2681">
        <v>0.0</v>
      </c>
      <c r="AD35" t="n" s="2682">
        <v>0.0</v>
      </c>
      <c r="AE35" t="n" s="2683">
        <v>0.0</v>
      </c>
      <c r="AF35" t="n" s="2684">
        <v>0.0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0.0</v>
      </c>
      <c r="AP35" s="2694">
        <f>IF(HLOOKUP("Gs",A1:CV300,35,FALSE)=0,0,HLOOKUP("GIB",A1:CV300,35,FALSE)/HLOOKUP("Gs",A1:CV300,35,FALSE))</f>
      </c>
      <c r="AQ35" t="n" s="2695">
        <v>0.0</v>
      </c>
      <c r="AR35" s="2696">
        <f>IF(HLOOKUP("Gs",A1:CV300,35,FALSE)=0,0,HLOOKUP("Gs - Open",A1:CV300,35,FALSE)/HLOOKUP("Gs",A1:CV300,35,FALSE))</f>
      </c>
      <c r="AS35" t="n" s="2697">
        <v>0.52</v>
      </c>
      <c r="AT35" t="n" s="2698">
        <v>0.16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0.14771893620491028</v>
      </c>
      <c r="BY35" t="n" s="2729">
        <v>0.05203516408801079</v>
      </c>
      <c r="BZ35" s="2730">
        <f>4*HLOOKUP("uXG/90",A1:CV300,35,FALSE)+3*HLOOKUP("uXA/90",A1:CV300,35,FALSE)</f>
      </c>
    </row>
    <row r="36">
      <c r="A36" t="s" s="2731">
        <v>131</v>
      </c>
      <c r="B36" t="s" s="2732">
        <v>87</v>
      </c>
      <c r="C36" t="n" s="2733">
        <v>5.400000095367432</v>
      </c>
      <c r="D36" t="n" s="2734">
        <v>92.0</v>
      </c>
      <c r="E36" t="n" s="2735">
        <v>4.0</v>
      </c>
      <c r="F36" t="n" s="2736">
        <v>5.0</v>
      </c>
      <c r="G36" t="n" s="2737">
        <v>0.0</v>
      </c>
      <c r="H36" t="n" s="2738">
        <v>0.0</v>
      </c>
      <c r="I36" t="n" s="2739">
        <v>14.0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0.0</v>
      </c>
      <c r="M36" t="n" s="2743">
        <v>6.0</v>
      </c>
      <c r="N36" t="n" s="2744">
        <v>2.0</v>
      </c>
      <c r="O36" t="n" s="2745">
        <v>1.0</v>
      </c>
      <c r="P36" s="2746">
        <f>IF(HLOOKUP("Shots",A1:CV300,36,FALSE)=0,0,HLOOKUP("SIB",A1:CV300,36,FALSE)/HLOOKUP("Shots",A1:CV300,36,FALSE))</f>
      </c>
      <c r="Q36" t="n" s="2747">
        <v>0.0</v>
      </c>
      <c r="R36" s="2748">
        <f>IF(HLOOKUP("Shots",A1:CV300,36,FALSE)=0,0,HLOOKUP("S6YD",A1:CV300,36,FALSE)/HLOOKUP("Shots",A1:CV300,36,FALSE))</f>
      </c>
      <c r="S36" t="n" s="2749">
        <v>0.0</v>
      </c>
      <c r="T36" s="2750">
        <f>IF(HLOOKUP("Shots",A1:CV300,36,FALSE)=0,0,HLOOKUP("Headers",A1:CV300,36,FALSE)/HLOOKUP("Shots",A1:CV300,36,FALSE))</f>
      </c>
      <c r="U36" t="n" s="2751">
        <v>0.0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0.0</v>
      </c>
      <c r="Y36" t="n" s="2755">
        <v>0.0</v>
      </c>
      <c r="Z36" t="n" s="2756">
        <v>1.0</v>
      </c>
      <c r="AA36" s="2757">
        <f>IF(HLOOKUP("KP",A1:CV300,36,FALSE)=0,0,HLOOKUP("As",A1:CV300,36,FALSE)/HLOOKUP("KP",A1:CV300,36,FALSE))</f>
      </c>
      <c r="AB36" t="n" s="2758">
        <v>3.4</v>
      </c>
      <c r="AC36" t="n" s="2759">
        <v>0.0</v>
      </c>
      <c r="AD36" t="n" s="2760">
        <v>0.0</v>
      </c>
      <c r="AE36" t="n" s="2761">
        <v>0.0</v>
      </c>
      <c r="AF36" t="n" s="2762">
        <v>0.0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0.0</v>
      </c>
      <c r="AK36" t="n" s="2767">
        <v>0.0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0.0</v>
      </c>
      <c r="AP36" s="2772">
        <f>IF(HLOOKUP("Gs",A1:CV300,36,FALSE)=0,0,HLOOKUP("GIB",A1:CV300,36,FALSE)/HLOOKUP("Gs",A1:CV300,36,FALSE))</f>
      </c>
      <c r="AQ36" t="n" s="2773">
        <v>0.0</v>
      </c>
      <c r="AR36" s="2774">
        <f>IF(HLOOKUP("Gs",A1:CV300,36,FALSE)=0,0,HLOOKUP("Gs - Open",A1:CV300,36,FALSE)/HLOOKUP("Gs",A1:CV300,36,FALSE))</f>
      </c>
      <c r="AS36" t="n" s="2775">
        <v>0.12</v>
      </c>
      <c r="AT36" t="n" s="2776">
        <v>0.05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0.17848528921604156</v>
      </c>
      <c r="BY36" t="n" s="2807">
        <v>0.09267029166221619</v>
      </c>
      <c r="BZ36" s="2808">
        <f>4*HLOOKUP("uXG/90",A1:CV300,36,FALSE)+3*HLOOKUP("uXA/90",A1:CV300,36,FALSE)</f>
      </c>
    </row>
    <row r="37">
      <c r="A37" t="s" s="2809">
        <v>132</v>
      </c>
      <c r="B37" t="s" s="2810">
        <v>100</v>
      </c>
      <c r="C37" t="n" s="2811">
        <v>7.5</v>
      </c>
      <c r="D37" t="n" s="2812">
        <v>466.0</v>
      </c>
      <c r="E37" t="n" s="2813">
        <v>6.0</v>
      </c>
      <c r="F37" t="n" s="2814">
        <v>108.0</v>
      </c>
      <c r="G37" t="n" s="2815">
        <v>2.0</v>
      </c>
      <c r="H37" t="n" s="2816">
        <v>17.0</v>
      </c>
      <c r="I37" t="n" s="2817">
        <v>381.0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5.0</v>
      </c>
      <c r="M37" t="n" s="2821">
        <v>35.0</v>
      </c>
      <c r="N37" t="n" s="2822">
        <v>22.0</v>
      </c>
      <c r="O37" t="n" s="2823">
        <v>14.0</v>
      </c>
      <c r="P37" s="2824">
        <f>IF(HLOOKUP("Shots",A1:CV300,37,FALSE)=0,0,HLOOKUP("SIB",A1:CV300,37,FALSE)/HLOOKUP("Shots",A1:CV300,37,FALSE))</f>
      </c>
      <c r="Q37" t="n" s="2825">
        <v>3.0</v>
      </c>
      <c r="R37" s="2826">
        <f>IF(HLOOKUP("Shots",A1:CV300,37,FALSE)=0,0,HLOOKUP("S6YD",A1:CV300,37,FALSE)/HLOOKUP("Shots",A1:CV300,37,FALSE))</f>
      </c>
      <c r="S37" t="n" s="2827">
        <v>3.0</v>
      </c>
      <c r="T37" s="2828">
        <f>IF(HLOOKUP("Shots",A1:CV300,37,FALSE)=0,0,HLOOKUP("Headers",A1:CV300,37,FALSE)/HLOOKUP("Shots",A1:CV300,37,FALSE))</f>
      </c>
      <c r="U37" t="n" s="2829">
        <v>6.0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2.0</v>
      </c>
      <c r="Y37" t="n" s="2833">
        <v>6.0</v>
      </c>
      <c r="Z37" t="n" s="2834">
        <v>7.0</v>
      </c>
      <c r="AA37" s="2835">
        <f>IF(HLOOKUP("KP",A1:CV300,37,FALSE)=0,0,HLOOKUP("As",A1:CV300,37,FALSE)/HLOOKUP("KP",A1:CV300,37,FALSE))</f>
      </c>
      <c r="AB37" t="n" s="2836">
        <v>54.7</v>
      </c>
      <c r="AC37" t="n" s="2837">
        <v>50.0</v>
      </c>
      <c r="AD37" t="n" s="2838">
        <v>1.0</v>
      </c>
      <c r="AE37" t="n" s="2839">
        <v>3.0</v>
      </c>
      <c r="AF37" t="n" s="2840">
        <v>1.0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0.0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2.0</v>
      </c>
      <c r="AP37" s="2850">
        <f>IF(HLOOKUP("Gs",A1:CV300,37,FALSE)=0,0,HLOOKUP("GIB",A1:CV300,37,FALSE)/HLOOKUP("Gs",A1:CV300,37,FALSE))</f>
      </c>
      <c r="AQ37" t="n" s="2851">
        <v>2.0</v>
      </c>
      <c r="AR37" s="2852">
        <f>IF(HLOOKUP("Gs",A1:CV300,37,FALSE)=0,0,HLOOKUP("Gs - Open",A1:CV300,37,FALSE)/HLOOKUP("Gs",A1:CV300,37,FALSE))</f>
      </c>
      <c r="AS37" t="n" s="2853">
        <v>2.4</v>
      </c>
      <c r="AT37" t="n" s="2854">
        <v>0.56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0.47957977652549744</v>
      </c>
      <c r="BY37" t="n" s="2885">
        <v>0.1603066474199295</v>
      </c>
      <c r="BZ37" s="2886">
        <f>4*HLOOKUP("uXG/90",A1:CV300,37,FALSE)+3*HLOOKUP("uXA/90",A1:CV300,37,FALSE)</f>
      </c>
    </row>
    <row r="38">
      <c r="A38" t="s" s="2887">
        <v>133</v>
      </c>
      <c r="B38" t="s" s="2888">
        <v>98</v>
      </c>
      <c r="C38" t="n" s="2889">
        <v>4.599999904632568</v>
      </c>
      <c r="D38" t="n" s="2890">
        <v>276.0</v>
      </c>
      <c r="E38" t="n" s="2891">
        <v>4.0</v>
      </c>
      <c r="F38" t="n" s="2892">
        <v>27.0</v>
      </c>
      <c r="G38" t="n" s="2893">
        <v>0.0</v>
      </c>
      <c r="H38" t="n" s="2894">
        <v>0.0</v>
      </c>
      <c r="I38" t="n" s="2895">
        <v>58.0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0.0</v>
      </c>
      <c r="M38" t="n" s="2899">
        <v>9.0</v>
      </c>
      <c r="N38" t="n" s="2900">
        <v>7.0</v>
      </c>
      <c r="O38" t="n" s="2901">
        <v>6.0</v>
      </c>
      <c r="P38" s="2902">
        <f>IF(HLOOKUP("Shots",A1:CV300,38,FALSE)=0,0,HLOOKUP("SIB",A1:CV300,38,FALSE)/HLOOKUP("Shots",A1:CV300,38,FALSE))</f>
      </c>
      <c r="Q38" t="n" s="2903">
        <v>4.0</v>
      </c>
      <c r="R38" s="2904">
        <f>IF(HLOOKUP("Shots",A1:CV300,38,FALSE)=0,0,HLOOKUP("S6YD",A1:CV300,38,FALSE)/HLOOKUP("Shots",A1:CV300,38,FALSE))</f>
      </c>
      <c r="S38" t="n" s="2905">
        <v>3.0</v>
      </c>
      <c r="T38" s="2906">
        <f>IF(HLOOKUP("Shots",A1:CV300,38,FALSE)=0,0,HLOOKUP("Headers",A1:CV300,38,FALSE)/HLOOKUP("Shots",A1:CV300,38,FALSE))</f>
      </c>
      <c r="U38" t="n" s="2907">
        <v>3.0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1.0</v>
      </c>
      <c r="Y38" t="n" s="2911">
        <v>3.0</v>
      </c>
      <c r="Z38" t="n" s="2912">
        <v>4.0</v>
      </c>
      <c r="AA38" s="2913">
        <f>IF(HLOOKUP("KP",A1:CV300,38,FALSE)=0,0,HLOOKUP("As",A1:CV300,38,FALSE)/HLOOKUP("KP",A1:CV300,38,FALSE))</f>
      </c>
      <c r="AB38" t="n" s="2914">
        <v>18.4</v>
      </c>
      <c r="AC38" t="n" s="2915">
        <v>50.0</v>
      </c>
      <c r="AD38" t="n" s="2916">
        <v>0.0</v>
      </c>
      <c r="AE38" t="n" s="2917">
        <v>3.0</v>
      </c>
      <c r="AF38" t="n" s="2918">
        <v>3.0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0.0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0.0</v>
      </c>
      <c r="AP38" s="2928">
        <f>IF(HLOOKUP("Gs",A1:CV300,38,FALSE)=0,0,HLOOKUP("GIB",A1:CV300,38,FALSE)/HLOOKUP("Gs",A1:CV300,38,FALSE))</f>
      </c>
      <c r="AQ38" t="n" s="2929">
        <v>0.0</v>
      </c>
      <c r="AR38" s="2930">
        <f>IF(HLOOKUP("Gs",A1:CV300,38,FALSE)=0,0,HLOOKUP("Gs - Open",A1:CV300,38,FALSE)/HLOOKUP("Gs",A1:CV300,38,FALSE))</f>
      </c>
      <c r="AS38" t="n" s="2931">
        <v>1.58</v>
      </c>
      <c r="AT38" t="n" s="2932">
        <v>0.04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0.4183231294155121</v>
      </c>
      <c r="BY38" t="n" s="2963">
        <v>0.06978197395801544</v>
      </c>
      <c r="BZ38" s="2964">
        <f>4*HLOOKUP("uXG/90",A1:CV300,38,FALSE)+3*HLOOKUP("uXA/90",A1:CV300,38,FALSE)</f>
      </c>
    </row>
    <row r="39">
      <c r="A39" t="s" s="2965">
        <v>134</v>
      </c>
      <c r="B39" t="s" s="2966">
        <v>102</v>
      </c>
      <c r="C39" t="n" s="2967">
        <v>5.099999904632568</v>
      </c>
      <c r="D39" t="n" s="2968">
        <v>100.0</v>
      </c>
      <c r="E39" t="n" s="2969">
        <v>2.0</v>
      </c>
      <c r="F39" t="n" s="2970">
        <v>8.0</v>
      </c>
      <c r="G39" t="n" s="2971">
        <v>0.0</v>
      </c>
      <c r="H39" t="n" s="2972">
        <v>0.0</v>
      </c>
      <c r="I39" t="n" s="2973">
        <v>22.0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0.0</v>
      </c>
      <c r="M39" t="n" s="2977">
        <v>0.0</v>
      </c>
      <c r="N39" t="n" s="2978">
        <v>0.0</v>
      </c>
      <c r="O39" t="n" s="2979">
        <v>0.0</v>
      </c>
      <c r="P39" s="2980">
        <f>IF(HLOOKUP("Shots",A1:CV300,39,FALSE)=0,0,HLOOKUP("SIB",A1:CV300,39,FALSE)/HLOOKUP("Shots",A1:CV300,39,FALSE))</f>
      </c>
      <c r="Q39" t="n" s="2981">
        <v>0.0</v>
      </c>
      <c r="R39" s="2982">
        <f>IF(HLOOKUP("Shots",A1:CV300,39,FALSE)=0,0,HLOOKUP("S6YD",A1:CV300,39,FALSE)/HLOOKUP("Shots",A1:CV300,39,FALSE))</f>
      </c>
      <c r="S39" t="n" s="2983">
        <v>0.0</v>
      </c>
      <c r="T39" s="2984">
        <f>IF(HLOOKUP("Shots",A1:CV300,39,FALSE)=0,0,HLOOKUP("Headers",A1:CV300,39,FALSE)/HLOOKUP("Shots",A1:CV300,39,FALSE))</f>
      </c>
      <c r="U39" t="n" s="2985">
        <v>0.0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0.0</v>
      </c>
      <c r="Y39" t="n" s="2989">
        <v>0.0</v>
      </c>
      <c r="Z39" t="n" s="2990">
        <v>1.0</v>
      </c>
      <c r="AA39" s="2991">
        <f>IF(HLOOKUP("KP",A1:CV300,39,FALSE)=0,0,HLOOKUP("As",A1:CV300,39,FALSE)/HLOOKUP("KP",A1:CV300,39,FALSE))</f>
      </c>
      <c r="AB39" t="n" s="2992">
        <v>2.2</v>
      </c>
      <c r="AC39" t="n" s="2993">
        <v>0.0</v>
      </c>
      <c r="AD39" t="n" s="2994">
        <v>0.0</v>
      </c>
      <c r="AE39" t="n" s="2995">
        <v>0.0</v>
      </c>
      <c r="AF39" t="n" s="2996">
        <v>0.0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0.0</v>
      </c>
      <c r="AK39" t="n" s="3001">
        <v>0.0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0.0</v>
      </c>
      <c r="AP39" s="3006">
        <f>IF(HLOOKUP("Gs",A1:CV300,39,FALSE)=0,0,HLOOKUP("GIB",A1:CV300,39,FALSE)/HLOOKUP("Gs",A1:CV300,39,FALSE))</f>
      </c>
      <c r="AQ39" t="n" s="3007">
        <v>0.0</v>
      </c>
      <c r="AR39" s="3008">
        <f>IF(HLOOKUP("Gs",A1:CV300,39,FALSE)=0,0,HLOOKUP("Gs - Open",A1:CV300,39,FALSE)/HLOOKUP("Gs",A1:CV300,39,FALSE))</f>
      </c>
      <c r="AS39" t="n" s="3009">
        <v>0.0</v>
      </c>
      <c r="AT39" t="n" s="3010">
        <v>0.02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0.0</v>
      </c>
      <c r="BY39" t="n" s="3041">
        <v>0.013157369568943977</v>
      </c>
      <c r="BZ39" s="3042">
        <f>4*HLOOKUP("uXG/90",A1:CV300,39,FALSE)+3*HLOOKUP("uXA/90",A1:CV300,39,FALSE)</f>
      </c>
    </row>
    <row r="40">
      <c r="A40" t="s" s="3043">
        <v>135</v>
      </c>
      <c r="B40" t="s" s="3044">
        <v>96</v>
      </c>
      <c r="C40" t="n" s="3045">
        <v>6.199999809265137</v>
      </c>
      <c r="D40" t="n" s="3046">
        <v>294.0</v>
      </c>
      <c r="E40" t="n" s="3047">
        <v>5.0</v>
      </c>
      <c r="F40" t="n" s="3048">
        <v>61.0</v>
      </c>
      <c r="G40" t="n" s="3049">
        <v>0.0</v>
      </c>
      <c r="H40" t="n" s="3050">
        <v>6.0</v>
      </c>
      <c r="I40" t="n" s="3051">
        <v>161.0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8.0</v>
      </c>
      <c r="M40" t="n" s="3055">
        <v>9.0</v>
      </c>
      <c r="N40" t="n" s="3056">
        <v>4.0</v>
      </c>
      <c r="O40" t="n" s="3057">
        <v>2.0</v>
      </c>
      <c r="P40" s="3058">
        <f>IF(HLOOKUP("Shots",A1:CV300,40,FALSE)=0,0,HLOOKUP("SIB",A1:CV300,40,FALSE)/HLOOKUP("Shots",A1:CV300,40,FALSE))</f>
      </c>
      <c r="Q40" t="n" s="3059">
        <v>0.0</v>
      </c>
      <c r="R40" s="3060">
        <f>IF(HLOOKUP("Shots",A1:CV300,40,FALSE)=0,0,HLOOKUP("S6YD",A1:CV300,40,FALSE)/HLOOKUP("Shots",A1:CV300,40,FALSE))</f>
      </c>
      <c r="S40" t="n" s="3061">
        <v>0.0</v>
      </c>
      <c r="T40" s="3062">
        <f>IF(HLOOKUP("Shots",A1:CV300,40,FALSE)=0,0,HLOOKUP("Headers",A1:CV300,40,FALSE)/HLOOKUP("Shots",A1:CV300,40,FALSE))</f>
      </c>
      <c r="U40" t="n" s="3063">
        <v>0.0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0.0</v>
      </c>
      <c r="Y40" t="n" s="3067">
        <v>0.0</v>
      </c>
      <c r="Z40" t="n" s="3068">
        <v>3.0</v>
      </c>
      <c r="AA40" s="3069">
        <f>IF(HLOOKUP("KP",A1:CV300,40,FALSE)=0,0,HLOOKUP("As",A1:CV300,40,FALSE)/HLOOKUP("KP",A1:CV300,40,FALSE))</f>
      </c>
      <c r="AB40" t="n" s="3070">
        <v>8.8</v>
      </c>
      <c r="AC40" t="n" s="3071">
        <v>0.0</v>
      </c>
      <c r="AD40" t="n" s="3072">
        <v>0.0</v>
      </c>
      <c r="AE40" t="n" s="3073">
        <v>0.0</v>
      </c>
      <c r="AF40" t="n" s="3074">
        <v>0.0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0.0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0.0</v>
      </c>
      <c r="AP40" s="3084">
        <f>IF(HLOOKUP("Gs",A1:CV300,40,FALSE)=0,0,HLOOKUP("GIB",A1:CV300,40,FALSE)/HLOOKUP("Gs",A1:CV300,40,FALSE))</f>
      </c>
      <c r="AQ40" t="n" s="3085">
        <v>0.0</v>
      </c>
      <c r="AR40" s="3086">
        <f>IF(HLOOKUP("Gs",A1:CV300,40,FALSE)=0,0,HLOOKUP("Gs - Open",A1:CV300,40,FALSE)/HLOOKUP("Gs",A1:CV300,40,FALSE))</f>
      </c>
      <c r="AS40" t="n" s="3087">
        <v>0.16</v>
      </c>
      <c r="AT40" t="n" s="3088">
        <v>0.05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0.04761919379234314</v>
      </c>
      <c r="BY40" t="n" s="3119">
        <v>0.035167716443538666</v>
      </c>
      <c r="BZ40" s="3120">
        <f>4*HLOOKUP("uXG/90",A1:CV300,40,FALSE)+3*HLOOKUP("uXA/90",A1:CV300,40,FALSE)</f>
      </c>
    </row>
    <row r="41">
      <c r="A41" t="s" s="3121">
        <v>136</v>
      </c>
      <c r="B41" t="s" s="3122">
        <v>107</v>
      </c>
      <c r="C41" t="n" s="3123">
        <v>5.699999809265137</v>
      </c>
      <c r="D41" t="n" s="3124">
        <v>180.0</v>
      </c>
      <c r="E41" t="n" s="3125">
        <v>2.0</v>
      </c>
      <c r="F41" t="n" s="3126">
        <v>17.0</v>
      </c>
      <c r="G41" t="n" s="3127">
        <v>0.0</v>
      </c>
      <c r="H41" t="n" s="3128">
        <v>0.0</v>
      </c>
      <c r="I41" t="n" s="3129">
        <v>53.0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1.0</v>
      </c>
      <c r="M41" t="n" s="3133">
        <v>14.0</v>
      </c>
      <c r="N41" t="n" s="3134">
        <v>7.0</v>
      </c>
      <c r="O41" t="n" s="3135">
        <v>7.0</v>
      </c>
      <c r="P41" s="3136">
        <f>IF(HLOOKUP("Shots",A1:CV300,41,FALSE)=0,0,HLOOKUP("SIB",A1:CV300,41,FALSE)/HLOOKUP("Shots",A1:CV300,41,FALSE))</f>
      </c>
      <c r="Q41" t="n" s="3137">
        <v>0.0</v>
      </c>
      <c r="R41" s="3138">
        <f>IF(HLOOKUP("Shots",A1:CV300,41,FALSE)=0,0,HLOOKUP("S6YD",A1:CV300,41,FALSE)/HLOOKUP("Shots",A1:CV300,41,FALSE))</f>
      </c>
      <c r="S41" t="n" s="3139">
        <v>3.0</v>
      </c>
      <c r="T41" s="3140">
        <f>IF(HLOOKUP("Shots",A1:CV300,41,FALSE)=0,0,HLOOKUP("Headers",A1:CV300,41,FALSE)/HLOOKUP("Shots",A1:CV300,41,FALSE))</f>
      </c>
      <c r="U41" t="n" s="3141">
        <v>4.0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0.0</v>
      </c>
      <c r="Y41" t="n" s="3145">
        <v>0.0</v>
      </c>
      <c r="Z41" t="n" s="3146">
        <v>2.0</v>
      </c>
      <c r="AA41" s="3147">
        <f>IF(HLOOKUP("KP",A1:CV300,41,FALSE)=0,0,HLOOKUP("As",A1:CV300,41,FALSE)/HLOOKUP("KP",A1:CV300,41,FALSE))</f>
      </c>
      <c r="AB41" t="n" s="3148">
        <v>16.9</v>
      </c>
      <c r="AC41" t="n" s="3149">
        <v>0.0</v>
      </c>
      <c r="AD41" t="n" s="3150">
        <v>0.0</v>
      </c>
      <c r="AE41" t="n" s="3151">
        <v>0.0</v>
      </c>
      <c r="AF41" t="n" s="3152">
        <v>0.0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0.0</v>
      </c>
      <c r="AK41" t="n" s="3157">
        <v>0.0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0.0</v>
      </c>
      <c r="AP41" s="3162">
        <f>IF(HLOOKUP("Gs",A1:CV300,41,FALSE)=0,0,HLOOKUP("GIB",A1:CV300,41,FALSE)/HLOOKUP("Gs",A1:CV300,41,FALSE))</f>
      </c>
      <c r="AQ41" t="n" s="3163">
        <v>0.0</v>
      </c>
      <c r="AR41" s="3164">
        <f>IF(HLOOKUP("Gs",A1:CV300,41,FALSE)=0,0,HLOOKUP("Gs - Open",A1:CV300,41,FALSE)/HLOOKUP("Gs",A1:CV300,41,FALSE))</f>
      </c>
      <c r="AS41" t="n" s="3165">
        <v>0.42</v>
      </c>
      <c r="AT41" t="n" s="3166">
        <v>0.13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0.22667920589447021</v>
      </c>
      <c r="BY41" t="n" s="3197">
        <v>0.07234672456979752</v>
      </c>
      <c r="BZ41" s="3198">
        <f>4*HLOOKUP("uXG/90",A1:CV300,41,FALSE)+3*HLOOKUP("uXA/90",A1:CV300,41,FALSE)</f>
      </c>
    </row>
    <row r="42">
      <c r="A42" t="s" s="3199">
        <v>137</v>
      </c>
      <c r="B42" t="s" s="3200">
        <v>90</v>
      </c>
      <c r="C42" t="n" s="3201">
        <v>5.199999809265137</v>
      </c>
      <c r="D42" t="n" s="3202">
        <v>4.0</v>
      </c>
      <c r="E42" t="n" s="3203">
        <v>1.0</v>
      </c>
      <c r="F42" t="n" s="3204">
        <v>13.0</v>
      </c>
      <c r="G42" t="n" s="3205">
        <v>0.0</v>
      </c>
      <c r="H42" t="n" s="3206">
        <v>1.0</v>
      </c>
      <c r="I42" t="n" s="3207">
        <v>50.0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0.0</v>
      </c>
      <c r="M42" t="n" s="3211">
        <v>0.0</v>
      </c>
      <c r="N42" t="n" s="3212">
        <v>0.0</v>
      </c>
      <c r="O42" t="n" s="3213">
        <v>0.0</v>
      </c>
      <c r="P42" s="3214">
        <f>IF(HLOOKUP("Shots",A1:CV300,42,FALSE)=0,0,HLOOKUP("SIB",A1:CV300,42,FALSE)/HLOOKUP("Shots",A1:CV300,42,FALSE))</f>
      </c>
      <c r="Q42" t="n" s="3215">
        <v>0.0</v>
      </c>
      <c r="R42" s="3216">
        <f>IF(HLOOKUP("Shots",A1:CV300,42,FALSE)=0,0,HLOOKUP("S6YD",A1:CV300,42,FALSE)/HLOOKUP("Shots",A1:CV300,42,FALSE))</f>
      </c>
      <c r="S42" t="n" s="3217">
        <v>0.0</v>
      </c>
      <c r="T42" s="3218">
        <f>IF(HLOOKUP("Shots",A1:CV300,42,FALSE)=0,0,HLOOKUP("Headers",A1:CV300,42,FALSE)/HLOOKUP("Shots",A1:CV300,42,FALSE))</f>
      </c>
      <c r="U42" t="n" s="3219">
        <v>0.0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0.0</v>
      </c>
      <c r="Y42" t="n" s="3223">
        <v>0.0</v>
      </c>
      <c r="Z42" t="n" s="3224">
        <v>0.0</v>
      </c>
      <c r="AA42" s="3225">
        <f>IF(HLOOKUP("KP",A1:CV300,42,FALSE)=0,0,HLOOKUP("As",A1:CV300,42,FALSE)/HLOOKUP("KP",A1:CV300,42,FALSE))</f>
      </c>
      <c r="AB42" t="n" s="3226">
        <v>0.2</v>
      </c>
      <c r="AC42" t="n" s="3227">
        <v>0.0</v>
      </c>
      <c r="AD42" t="n" s="3228">
        <v>0.0</v>
      </c>
      <c r="AE42" t="n" s="3229">
        <v>0.0</v>
      </c>
      <c r="AF42" t="n" s="3230">
        <v>0.0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0.0</v>
      </c>
      <c r="AK42" t="n" s="3235">
        <v>0.0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0.0</v>
      </c>
      <c r="AP42" s="3240">
        <f>IF(HLOOKUP("Gs",A1:CV300,42,FALSE)=0,0,HLOOKUP("GIB",A1:CV300,42,FALSE)/HLOOKUP("Gs",A1:CV300,42,FALSE))</f>
      </c>
      <c r="AQ42" t="n" s="3241">
        <v>0.0</v>
      </c>
      <c r="AR42" s="3242">
        <f>IF(HLOOKUP("Gs",A1:CV300,42,FALSE)=0,0,HLOOKUP("Gs - Open",A1:CV300,42,FALSE)/HLOOKUP("Gs",A1:CV300,42,FALSE))</f>
      </c>
      <c r="AS42" t="n" s="3243">
        <v>0.0</v>
      </c>
      <c r="AT42" t="n" s="3244">
        <v>0.0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0.0</v>
      </c>
      <c r="BY42" t="n" s="3275">
        <v>0.0</v>
      </c>
      <c r="BZ42" s="3276">
        <f>4*HLOOKUP("uXG/90",A1:CV300,42,FALSE)+3*HLOOKUP("uXA/90",A1:CV300,42,FALSE)</f>
      </c>
    </row>
    <row r="43">
      <c r="A43" t="s" s="3277">
        <v>138</v>
      </c>
      <c r="B43" t="s" s="3278">
        <v>85</v>
      </c>
      <c r="C43" t="n" s="3279">
        <v>5.400000095367432</v>
      </c>
      <c r="D43" t="n" s="3280">
        <v>426.0</v>
      </c>
      <c r="E43" t="n" s="3281">
        <v>6.0</v>
      </c>
      <c r="F43" t="n" s="3282">
        <v>40.0</v>
      </c>
      <c r="G43" t="n" s="3283">
        <v>0.0</v>
      </c>
      <c r="H43" t="n" s="3284">
        <v>3.0</v>
      </c>
      <c r="I43" t="n" s="3285">
        <v>100.0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5.0</v>
      </c>
      <c r="M43" t="n" s="3289">
        <v>16.0</v>
      </c>
      <c r="N43" t="n" s="3290">
        <v>8.0</v>
      </c>
      <c r="O43" t="n" s="3291">
        <v>7.0</v>
      </c>
      <c r="P43" s="3292">
        <f>IF(HLOOKUP("Shots",A1:CV300,43,FALSE)=0,0,HLOOKUP("SIB",A1:CV300,43,FALSE)/HLOOKUP("Shots",A1:CV300,43,FALSE))</f>
      </c>
      <c r="Q43" t="n" s="3293">
        <v>2.0</v>
      </c>
      <c r="R43" s="3294">
        <f>IF(HLOOKUP("Shots",A1:CV300,43,FALSE)=0,0,HLOOKUP("S6YD",A1:CV300,43,FALSE)/HLOOKUP("Shots",A1:CV300,43,FALSE))</f>
      </c>
      <c r="S43" t="n" s="3295">
        <v>1.0</v>
      </c>
      <c r="T43" s="3296">
        <f>IF(HLOOKUP("Shots",A1:CV300,43,FALSE)=0,0,HLOOKUP("Headers",A1:CV300,43,FALSE)/HLOOKUP("Shots",A1:CV300,43,FALSE))</f>
      </c>
      <c r="U43" t="n" s="3297">
        <v>2.0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1.0</v>
      </c>
      <c r="Y43" t="n" s="3301">
        <v>2.0</v>
      </c>
      <c r="Z43" t="n" s="3302">
        <v>3.0</v>
      </c>
      <c r="AA43" s="3303">
        <f>IF(HLOOKUP("KP",A1:CV300,43,FALSE)=0,0,HLOOKUP("As",A1:CV300,43,FALSE)/HLOOKUP("KP",A1:CV300,43,FALSE))</f>
      </c>
      <c r="AB43" t="n" s="3304">
        <v>20.2</v>
      </c>
      <c r="AC43" t="n" s="3305">
        <v>20.0</v>
      </c>
      <c r="AD43" t="n" s="3306">
        <v>1.0</v>
      </c>
      <c r="AE43" t="n" s="3307">
        <v>5.0</v>
      </c>
      <c r="AF43" t="n" s="3308">
        <v>5.0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0.0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0.0</v>
      </c>
      <c r="AP43" s="3318">
        <f>IF(HLOOKUP("Gs",A1:CV300,43,FALSE)=0,0,HLOOKUP("GIB",A1:CV300,43,FALSE)/HLOOKUP("Gs",A1:CV300,43,FALSE))</f>
      </c>
      <c r="AQ43" t="n" s="3319">
        <v>0.0</v>
      </c>
      <c r="AR43" s="3320">
        <f>IF(HLOOKUP("Gs",A1:CV300,43,FALSE)=0,0,HLOOKUP("Gs - Open",A1:CV300,43,FALSE)/HLOOKUP("Gs",A1:CV300,43,FALSE))</f>
      </c>
      <c r="AS43" t="n" s="3321">
        <v>1.92</v>
      </c>
      <c r="AT43" t="n" s="3322">
        <v>0.36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0.4835785925388336</v>
      </c>
      <c r="BY43" t="n" s="3353">
        <v>0.08449450880289078</v>
      </c>
      <c r="BZ43" s="3354">
        <f>4*HLOOKUP("uXG/90",A1:CV300,43,FALSE)+3*HLOOKUP("uXA/90",A1:CV300,43,FALSE)</f>
      </c>
    </row>
    <row r="44">
      <c r="A44" t="s" s="3355">
        <v>139</v>
      </c>
      <c r="B44" t="s" s="3356">
        <v>102</v>
      </c>
      <c r="C44" t="n" s="3357">
        <v>5.0</v>
      </c>
      <c r="D44" t="n" s="3358">
        <v>135.0</v>
      </c>
      <c r="E44" t="n" s="3359">
        <v>5.0</v>
      </c>
      <c r="F44" t="n" s="3360">
        <v>12.0</v>
      </c>
      <c r="G44" t="n" s="3361">
        <v>0.0</v>
      </c>
      <c r="H44" t="n" s="3362">
        <v>0.0</v>
      </c>
      <c r="I44" t="n" s="3363">
        <v>32.0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0.0</v>
      </c>
      <c r="M44" t="n" s="3367">
        <v>4.0</v>
      </c>
      <c r="N44" t="n" s="3368">
        <v>2.0</v>
      </c>
      <c r="O44" t="n" s="3369">
        <v>2.0</v>
      </c>
      <c r="P44" s="3370">
        <f>IF(HLOOKUP("Shots",A1:CV300,44,FALSE)=0,0,HLOOKUP("SIB",A1:CV300,44,FALSE)/HLOOKUP("Shots",A1:CV300,44,FALSE))</f>
      </c>
      <c r="Q44" t="n" s="3371">
        <v>1.0</v>
      </c>
      <c r="R44" s="3372">
        <f>IF(HLOOKUP("Shots",A1:CV300,44,FALSE)=0,0,HLOOKUP("S6YD",A1:CV300,44,FALSE)/HLOOKUP("Shots",A1:CV300,44,FALSE))</f>
      </c>
      <c r="S44" t="n" s="3373">
        <v>0.0</v>
      </c>
      <c r="T44" s="3374">
        <f>IF(HLOOKUP("Shots",A1:CV300,44,FALSE)=0,0,HLOOKUP("Headers",A1:CV300,44,FALSE)/HLOOKUP("Shots",A1:CV300,44,FALSE))</f>
      </c>
      <c r="U44" t="n" s="3375">
        <v>0.0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1.0</v>
      </c>
      <c r="Y44" t="n" s="3379">
        <v>1.0</v>
      </c>
      <c r="Z44" t="n" s="3380">
        <v>2.0</v>
      </c>
      <c r="AA44" s="3381">
        <f>IF(HLOOKUP("KP",A1:CV300,44,FALSE)=0,0,HLOOKUP("As",A1:CV300,44,FALSE)/HLOOKUP("KP",A1:CV300,44,FALSE))</f>
      </c>
      <c r="AB44" t="n" s="3382">
        <v>6.8</v>
      </c>
      <c r="AC44" t="n" s="3383">
        <v>33.0</v>
      </c>
      <c r="AD44" t="n" s="3384">
        <v>0.0</v>
      </c>
      <c r="AE44" t="n" s="3385">
        <v>2.0</v>
      </c>
      <c r="AF44" t="n" s="3386">
        <v>2.0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0.0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0.0</v>
      </c>
      <c r="AP44" s="3396">
        <f>IF(HLOOKUP("Gs",A1:CV300,44,FALSE)=0,0,HLOOKUP("GIB",A1:CV300,44,FALSE)/HLOOKUP("Gs",A1:CV300,44,FALSE))</f>
      </c>
      <c r="AQ44" t="n" s="3397">
        <v>0.0</v>
      </c>
      <c r="AR44" s="3398">
        <f>IF(HLOOKUP("Gs",A1:CV300,44,FALSE)=0,0,HLOOKUP("Gs - Open",A1:CV300,44,FALSE)/HLOOKUP("Gs",A1:CV300,44,FALSE))</f>
      </c>
      <c r="AS44" t="n" s="3399">
        <v>0.83</v>
      </c>
      <c r="AT44" t="n" s="3400">
        <v>0.06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0.6112807393074036</v>
      </c>
      <c r="BY44" t="n" s="3431">
        <v>0.07874563336372375</v>
      </c>
      <c r="BZ44" s="3432">
        <f>4*HLOOKUP("uXG/90",A1:CV300,44,FALSE)+3*HLOOKUP("uXA/90",A1:CV300,44,FALSE)</f>
      </c>
    </row>
    <row r="45">
      <c r="A45" t="s" s="3433">
        <v>140</v>
      </c>
      <c r="B45" t="s" s="3434">
        <v>107</v>
      </c>
      <c r="C45" t="n" s="3435">
        <v>5.0</v>
      </c>
      <c r="D45" t="n" s="3436">
        <v>540.0</v>
      </c>
      <c r="E45" t="n" s="3437">
        <v>6.0</v>
      </c>
      <c r="F45" t="n" s="3438">
        <v>83.0</v>
      </c>
      <c r="G45" t="n" s="3439">
        <v>2.0</v>
      </c>
      <c r="H45" t="n" s="3440">
        <v>17.0</v>
      </c>
      <c r="I45" t="n" s="3441">
        <v>264.0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8.0</v>
      </c>
      <c r="M45" t="n" s="3445">
        <v>28.0</v>
      </c>
      <c r="N45" t="n" s="3446">
        <v>9.0</v>
      </c>
      <c r="O45" t="n" s="3447">
        <v>6.0</v>
      </c>
      <c r="P45" s="3448">
        <f>IF(HLOOKUP("Shots",A1:CV300,45,FALSE)=0,0,HLOOKUP("SIB",A1:CV300,45,FALSE)/HLOOKUP("Shots",A1:CV300,45,FALSE))</f>
      </c>
      <c r="Q45" t="n" s="3449">
        <v>1.0</v>
      </c>
      <c r="R45" s="3450">
        <f>IF(HLOOKUP("Shots",A1:CV300,45,FALSE)=0,0,HLOOKUP("S6YD",A1:CV300,45,FALSE)/HLOOKUP("Shots",A1:CV300,45,FALSE))</f>
      </c>
      <c r="S45" t="n" s="3451">
        <v>1.0</v>
      </c>
      <c r="T45" s="3452">
        <f>IF(HLOOKUP("Shots",A1:CV300,45,FALSE)=0,0,HLOOKUP("Headers",A1:CV300,45,FALSE)/HLOOKUP("Shots",A1:CV300,45,FALSE))</f>
      </c>
      <c r="U45" t="n" s="3453">
        <v>4.0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1.0</v>
      </c>
      <c r="Y45" t="n" s="3457">
        <v>1.0</v>
      </c>
      <c r="Z45" t="n" s="3458">
        <v>10.0</v>
      </c>
      <c r="AA45" s="3459">
        <f>IF(HLOOKUP("KP",A1:CV300,45,FALSE)=0,0,HLOOKUP("As",A1:CV300,45,FALSE)/HLOOKUP("KP",A1:CV300,45,FALSE))</f>
      </c>
      <c r="AB45" t="n" s="3460">
        <v>43.9</v>
      </c>
      <c r="AC45" t="n" s="3461">
        <v>50.0</v>
      </c>
      <c r="AD45" t="n" s="3462">
        <v>2.0</v>
      </c>
      <c r="AE45" t="n" s="3463">
        <v>2.0</v>
      </c>
      <c r="AF45" t="n" s="3464">
        <v>1.0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0.0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2.0</v>
      </c>
      <c r="AP45" s="3474">
        <f>IF(HLOOKUP("Gs",A1:CV300,45,FALSE)=0,0,HLOOKUP("GIB",A1:CV300,45,FALSE)/HLOOKUP("Gs",A1:CV300,45,FALSE))</f>
      </c>
      <c r="AQ45" t="n" s="3475">
        <v>1.0</v>
      </c>
      <c r="AR45" s="3476">
        <f>IF(HLOOKUP("Gs",A1:CV300,45,FALSE)=0,0,HLOOKUP("Gs - Open",A1:CV300,45,FALSE)/HLOOKUP("Gs",A1:CV300,45,FALSE))</f>
      </c>
      <c r="AS45" t="n" s="3477">
        <v>1.53</v>
      </c>
      <c r="AT45" t="n" s="3478">
        <v>0.9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0.21921925246715546</v>
      </c>
      <c r="BY45" t="n" s="3509">
        <v>0.17571838200092316</v>
      </c>
      <c r="BZ45" s="3510">
        <f>4*HLOOKUP("uXG/90",A1:CV300,45,FALSE)+3*HLOOKUP("uXA/90",A1:CV300,45,FALSE)</f>
      </c>
    </row>
    <row r="46">
      <c r="A46" t="s" s="3511">
        <v>141</v>
      </c>
      <c r="B46" t="s" s="3512">
        <v>96</v>
      </c>
      <c r="C46" t="n" s="3513">
        <v>5.699999809265137</v>
      </c>
      <c r="D46" t="n" s="3514">
        <v>186.0</v>
      </c>
      <c r="E46" t="n" s="3515">
        <v>5.0</v>
      </c>
      <c r="F46" t="n" s="3516">
        <v>40.0</v>
      </c>
      <c r="G46" t="n" s="3517">
        <v>1.0</v>
      </c>
      <c r="H46" t="n" s="3518">
        <v>3.0</v>
      </c>
      <c r="I46" t="n" s="3519">
        <v>114.0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0.0</v>
      </c>
      <c r="L46" t="n" s="3522">
        <v>0.0</v>
      </c>
      <c r="M46" t="n" s="3523">
        <v>7.0</v>
      </c>
      <c r="N46" t="n" s="3524">
        <v>9.0</v>
      </c>
      <c r="O46" t="n" s="3525">
        <v>5.0</v>
      </c>
      <c r="P46" s="3526">
        <f>IF(HLOOKUP("Shots",A1:CV300,46,FALSE)=0,0,HLOOKUP("SIB",A1:CV300,46,FALSE)/HLOOKUP("Shots",A1:CV300,46,FALSE))</f>
      </c>
      <c r="Q46" t="n" s="3527">
        <v>1.0</v>
      </c>
      <c r="R46" s="3528">
        <f>IF(HLOOKUP("Shots",A1:CV300,46,FALSE)=0,0,HLOOKUP("S6YD",A1:CV300,46,FALSE)/HLOOKUP("Shots",A1:CV300,46,FALSE))</f>
      </c>
      <c r="S46" t="n" s="3529">
        <v>3.0</v>
      </c>
      <c r="T46" s="3530">
        <f>IF(HLOOKUP("Shots",A1:CV300,46,FALSE)=0,0,HLOOKUP("Headers",A1:CV300,46,FALSE)/HLOOKUP("Shots",A1:CV300,46,FALSE))</f>
      </c>
      <c r="U46" t="n" s="3531">
        <v>1.0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0.0</v>
      </c>
      <c r="Y46" t="n" s="3535">
        <v>0.0</v>
      </c>
      <c r="Z46" t="n" s="3536">
        <v>0.0</v>
      </c>
      <c r="AA46" s="3537">
        <f>IF(HLOOKUP("KP",A1:CV300,46,FALSE)=0,0,HLOOKUP("As",A1:CV300,46,FALSE)/HLOOKUP("KP",A1:CV300,46,FALSE))</f>
      </c>
      <c r="AB46" t="n" s="3538">
        <v>11.8</v>
      </c>
      <c r="AC46" t="n" s="3539">
        <v>50.0</v>
      </c>
      <c r="AD46" t="n" s="3540">
        <v>0.0</v>
      </c>
      <c r="AE46" t="n" s="3541">
        <v>1.0</v>
      </c>
      <c r="AF46" t="n" s="3542">
        <v>1.0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0.0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1.0</v>
      </c>
      <c r="AP46" s="3552">
        <f>IF(HLOOKUP("Gs",A1:CV300,46,FALSE)=0,0,HLOOKUP("GIB",A1:CV300,46,FALSE)/HLOOKUP("Gs",A1:CV300,46,FALSE))</f>
      </c>
      <c r="AQ46" t="n" s="3553">
        <v>1.0</v>
      </c>
      <c r="AR46" s="3554">
        <f>IF(HLOOKUP("Gs",A1:CV300,46,FALSE)=0,0,HLOOKUP("Gs - Open",A1:CV300,46,FALSE)/HLOOKUP("Gs",A1:CV300,46,FALSE))</f>
      </c>
      <c r="AS46" t="n" s="3555">
        <v>1.02</v>
      </c>
      <c r="AT46" t="n" s="3556">
        <v>0.01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0.5926932096481323</v>
      </c>
      <c r="BY46" t="n" s="3587">
        <v>0.0</v>
      </c>
      <c r="BZ46" s="3588">
        <f>4*HLOOKUP("uXG/90",A1:CV300,46,FALSE)+3*HLOOKUP("uXA/90",A1:CV300,46,FALSE)</f>
      </c>
    </row>
    <row r="47">
      <c r="A47" t="s" s="3589">
        <v>142</v>
      </c>
      <c r="B47" t="s" s="3590">
        <v>80</v>
      </c>
      <c r="C47" t="n" s="3591">
        <v>9.300000190734863</v>
      </c>
      <c r="D47" t="n" s="3592">
        <v>363.0</v>
      </c>
      <c r="E47" t="n" s="3593">
        <v>5.0</v>
      </c>
      <c r="F47" t="n" s="3594">
        <v>56.0</v>
      </c>
      <c r="G47" t="n" s="3595">
        <v>0.0</v>
      </c>
      <c r="H47" t="n" s="3596">
        <v>6.0</v>
      </c>
      <c r="I47" t="n" s="3597">
        <v>183.0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1.0</v>
      </c>
      <c r="M47" t="n" s="3601">
        <v>22.0</v>
      </c>
      <c r="N47" t="n" s="3602">
        <v>9.0</v>
      </c>
      <c r="O47" t="n" s="3603">
        <v>7.0</v>
      </c>
      <c r="P47" s="3604">
        <f>IF(HLOOKUP("Shots",A1:CV300,47,FALSE)=0,0,HLOOKUP("SIB",A1:CV300,47,FALSE)/HLOOKUP("Shots",A1:CV300,47,FALSE))</f>
      </c>
      <c r="Q47" t="n" s="3605">
        <v>3.0</v>
      </c>
      <c r="R47" s="3606">
        <f>IF(HLOOKUP("Shots",A1:CV300,47,FALSE)=0,0,HLOOKUP("S6YD",A1:CV300,47,FALSE)/HLOOKUP("Shots",A1:CV300,47,FALSE))</f>
      </c>
      <c r="S47" t="n" s="3607">
        <v>1.0</v>
      </c>
      <c r="T47" s="3608">
        <f>IF(HLOOKUP("Shots",A1:CV300,47,FALSE)=0,0,HLOOKUP("Headers",A1:CV300,47,FALSE)/HLOOKUP("Shots",A1:CV300,47,FALSE))</f>
      </c>
      <c r="U47" t="n" s="3609">
        <v>3.0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1.0</v>
      </c>
      <c r="Y47" t="n" s="3613">
        <v>3.0</v>
      </c>
      <c r="Z47" t="n" s="3614">
        <v>6.0</v>
      </c>
      <c r="AA47" s="3615">
        <f>IF(HLOOKUP("KP",A1:CV300,47,FALSE)=0,0,HLOOKUP("As",A1:CV300,47,FALSE)/HLOOKUP("KP",A1:CV300,47,FALSE))</f>
      </c>
      <c r="AB47" t="n" s="3616">
        <v>30.0</v>
      </c>
      <c r="AC47" t="n" s="3617">
        <v>20.0</v>
      </c>
      <c r="AD47" t="n" s="3618">
        <v>1.0</v>
      </c>
      <c r="AE47" t="n" s="3619">
        <v>1.0</v>
      </c>
      <c r="AF47" t="n" s="3620">
        <v>1.0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0.0</v>
      </c>
      <c r="AP47" s="3630">
        <f>IF(HLOOKUP("Gs",A1:CV300,47,FALSE)=0,0,HLOOKUP("GIB",A1:CV300,47,FALSE)/HLOOKUP("Gs",A1:CV300,47,FALSE))</f>
      </c>
      <c r="AQ47" t="n" s="3631">
        <v>0.0</v>
      </c>
      <c r="AR47" s="3632">
        <f>IF(HLOOKUP("Gs",A1:CV300,47,FALSE)=0,0,HLOOKUP("Gs - Open",A1:CV300,47,FALSE)/HLOOKUP("Gs",A1:CV300,47,FALSE))</f>
      </c>
      <c r="AS47" t="n" s="3633">
        <v>1.96</v>
      </c>
      <c r="AT47" t="n" s="3634">
        <v>0.29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0.2556675374507904</v>
      </c>
      <c r="BY47" t="n" s="3665">
        <v>0.19480182230472565</v>
      </c>
      <c r="BZ47" s="3666">
        <f>4*HLOOKUP("uXG/90",A1:CV300,47,FALSE)+3*HLOOKUP("uXA/90",A1:CV300,47,FALSE)</f>
      </c>
    </row>
    <row r="48">
      <c r="A48" t="s" s="3667">
        <v>143</v>
      </c>
      <c r="B48" t="s" s="3668">
        <v>144</v>
      </c>
      <c r="C48" t="n" s="3669">
        <v>4.300000190734863</v>
      </c>
      <c r="D48" t="n" s="3670">
        <v>198.0</v>
      </c>
      <c r="E48" t="n" s="3671">
        <v>5.0</v>
      </c>
      <c r="F48" t="n" s="3672">
        <v>40.0</v>
      </c>
      <c r="G48" t="n" s="3673">
        <v>3.0</v>
      </c>
      <c r="H48" t="n" s="3674">
        <v>5.0</v>
      </c>
      <c r="I48" t="n" s="3675">
        <v>161.0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0.0</v>
      </c>
      <c r="L48" t="n" s="3678">
        <v>0.0</v>
      </c>
      <c r="M48" t="n" s="3679">
        <v>14.0</v>
      </c>
      <c r="N48" t="n" s="3680">
        <v>7.0</v>
      </c>
      <c r="O48" t="n" s="3681">
        <v>4.0</v>
      </c>
      <c r="P48" s="3682">
        <f>IF(HLOOKUP("Shots",A1:CV300,48,FALSE)=0,0,HLOOKUP("SIB",A1:CV300,48,FALSE)/HLOOKUP("Shots",A1:CV300,48,FALSE))</f>
      </c>
      <c r="Q48" t="n" s="3683">
        <v>0.0</v>
      </c>
      <c r="R48" s="3684">
        <f>IF(HLOOKUP("Shots",A1:CV300,48,FALSE)=0,0,HLOOKUP("S6YD",A1:CV300,48,FALSE)/HLOOKUP("Shots",A1:CV300,48,FALSE))</f>
      </c>
      <c r="S48" t="n" s="3685">
        <v>1.0</v>
      </c>
      <c r="T48" s="3686">
        <f>IF(HLOOKUP("Shots",A1:CV300,48,FALSE)=0,0,HLOOKUP("Headers",A1:CV300,48,FALSE)/HLOOKUP("Shots",A1:CV300,48,FALSE))</f>
      </c>
      <c r="U48" t="n" s="3687">
        <v>3.0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0.0</v>
      </c>
      <c r="Y48" t="n" s="3691">
        <v>0.0</v>
      </c>
      <c r="Z48" t="n" s="3692">
        <v>3.0</v>
      </c>
      <c r="AA48" s="3693">
        <f>IF(HLOOKUP("KP",A1:CV300,48,FALSE)=0,0,HLOOKUP("As",A1:CV300,48,FALSE)/HLOOKUP("KP",A1:CV300,48,FALSE))</f>
      </c>
      <c r="AB48" t="n" s="3694">
        <v>24.5</v>
      </c>
      <c r="AC48" t="n" s="3695">
        <v>50.0</v>
      </c>
      <c r="AD48" t="n" s="3696">
        <v>0.0</v>
      </c>
      <c r="AE48" t="n" s="3697">
        <v>0.0</v>
      </c>
      <c r="AF48" t="n" s="3698">
        <v>0.0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0.0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0.0</v>
      </c>
      <c r="AP48" s="3708">
        <f>IF(HLOOKUP("Gs",A1:CV300,48,FALSE)=0,0,HLOOKUP("GIB",A1:CV300,48,FALSE)/HLOOKUP("Gs",A1:CV300,48,FALSE))</f>
      </c>
      <c r="AQ48" t="n" s="3709">
        <v>3.0</v>
      </c>
      <c r="AR48" s="3710">
        <f>IF(HLOOKUP("Gs",A1:CV300,48,FALSE)=0,0,HLOOKUP("Gs - Open",A1:CV300,48,FALSE)/HLOOKUP("Gs",A1:CV300,48,FALSE))</f>
      </c>
      <c r="AS48" t="n" s="3711">
        <v>0.31</v>
      </c>
      <c r="AT48" t="n" s="3712">
        <v>0.11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0.1457725167274475</v>
      </c>
      <c r="BY48" t="n" s="3743">
        <v>0.06672832369804382</v>
      </c>
      <c r="BZ48" s="3744">
        <f>4*HLOOKUP("uXG/90",A1:CV300,48,FALSE)+3*HLOOKUP("uXA/90",A1:CV300,48,FALSE)</f>
      </c>
    </row>
    <row r="49">
      <c r="A49" t="s" s="3745">
        <v>145</v>
      </c>
      <c r="B49" t="s" s="3746">
        <v>102</v>
      </c>
      <c r="C49" t="n" s="3747">
        <v>5.400000095367432</v>
      </c>
      <c r="D49" t="n" s="3748">
        <v>281.0</v>
      </c>
      <c r="E49" t="n" s="3749">
        <v>4.0</v>
      </c>
      <c r="F49" t="n" s="3750">
        <v>25.0</v>
      </c>
      <c r="G49" t="n" s="3751">
        <v>0.0</v>
      </c>
      <c r="H49" t="n" s="3752">
        <v>0.0</v>
      </c>
      <c r="I49" t="n" s="3753">
        <v>75.0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0.0</v>
      </c>
      <c r="L49" t="n" s="3756">
        <v>2.0</v>
      </c>
      <c r="M49" t="n" s="3757">
        <v>18.0</v>
      </c>
      <c r="N49" t="n" s="3758">
        <v>9.0</v>
      </c>
      <c r="O49" t="n" s="3759">
        <v>8.0</v>
      </c>
      <c r="P49" s="3760">
        <f>IF(HLOOKUP("Shots",A1:CV300,49,FALSE)=0,0,HLOOKUP("SIB",A1:CV300,49,FALSE)/HLOOKUP("Shots",A1:CV300,49,FALSE))</f>
      </c>
      <c r="Q49" t="n" s="3761">
        <v>0.0</v>
      </c>
      <c r="R49" s="3762">
        <f>IF(HLOOKUP("Shots",A1:CV300,49,FALSE)=0,0,HLOOKUP("S6YD",A1:CV300,49,FALSE)/HLOOKUP("Shots",A1:CV300,49,FALSE))</f>
      </c>
      <c r="S49" t="n" s="3763">
        <v>5.0</v>
      </c>
      <c r="T49" s="3764">
        <f>IF(HLOOKUP("Shots",A1:CV300,49,FALSE)=0,0,HLOOKUP("Headers",A1:CV300,49,FALSE)/HLOOKUP("Shots",A1:CV300,49,FALSE))</f>
      </c>
      <c r="U49" t="n" s="3765">
        <v>1.0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1.0</v>
      </c>
      <c r="Y49" t="n" s="3769">
        <v>3.0</v>
      </c>
      <c r="Z49" t="n" s="3770">
        <v>5.0</v>
      </c>
      <c r="AA49" s="3771">
        <f>IF(HLOOKUP("KP",A1:CV300,49,FALSE)=0,0,HLOOKUP("As",A1:CV300,49,FALSE)/HLOOKUP("KP",A1:CV300,49,FALSE))</f>
      </c>
      <c r="AB49" t="n" s="3772">
        <v>23.2</v>
      </c>
      <c r="AC49" t="n" s="3773">
        <v>50.0</v>
      </c>
      <c r="AD49" t="n" s="3774">
        <v>0.0</v>
      </c>
      <c r="AE49" t="n" s="3775">
        <v>1.0</v>
      </c>
      <c r="AF49" t="n" s="3776">
        <v>1.0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0.0</v>
      </c>
      <c r="AR49" s="3788">
        <f>IF(HLOOKUP("Gs",A1:CV300,49,FALSE)=0,0,HLOOKUP("Gs - Open",A1:CV300,49,FALSE)/HLOOKUP("Gs",A1:CV300,49,FALSE))</f>
      </c>
      <c r="AS49" t="n" s="3789">
        <v>0.59</v>
      </c>
      <c r="AT49" t="n" s="3790">
        <v>0.27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0.20248264074325562</v>
      </c>
      <c r="BY49" t="n" s="3821">
        <v>0.11214209347963333</v>
      </c>
      <c r="BZ49" s="3822">
        <f>4*HLOOKUP("uXG/90",A1:CV300,49,FALSE)+3*HLOOKUP("uXA/90",A1:CV300,49,FALSE)</f>
      </c>
    </row>
    <row r="50">
      <c r="A50" t="s" s="3823">
        <v>146</v>
      </c>
      <c r="B50" t="s" s="3824">
        <v>147</v>
      </c>
      <c r="C50" t="n" s="3825">
        <v>7.800000190734863</v>
      </c>
      <c r="D50" t="n" s="3826">
        <v>530.0</v>
      </c>
      <c r="E50" t="n" s="3827">
        <v>6.0</v>
      </c>
      <c r="F50" t="n" s="3828">
        <v>121.0</v>
      </c>
      <c r="G50" t="n" s="3829">
        <v>2.0</v>
      </c>
      <c r="H50" t="n" s="3830">
        <v>20.0</v>
      </c>
      <c r="I50" t="n" s="3831">
        <v>383.0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1.0</v>
      </c>
      <c r="L50" t="n" s="3834">
        <v>6.0</v>
      </c>
      <c r="M50" t="n" s="3835">
        <v>45.0</v>
      </c>
      <c r="N50" t="n" s="3836">
        <v>19.0</v>
      </c>
      <c r="O50" t="n" s="3837">
        <v>19.0</v>
      </c>
      <c r="P50" s="3838">
        <f>IF(HLOOKUP("Shots",A1:CV300,50,FALSE)=0,0,HLOOKUP("SIB",A1:CV300,50,FALSE)/HLOOKUP("Shots",A1:CV300,50,FALSE))</f>
      </c>
      <c r="Q50" t="n" s="3839">
        <v>2.0</v>
      </c>
      <c r="R50" s="3840">
        <f>IF(HLOOKUP("Shots",A1:CV300,50,FALSE)=0,0,HLOOKUP("S6YD",A1:CV300,50,FALSE)/HLOOKUP("Shots",A1:CV300,50,FALSE))</f>
      </c>
      <c r="S50" t="n" s="3841">
        <v>8.0</v>
      </c>
      <c r="T50" s="3842">
        <f>IF(HLOOKUP("Shots",A1:CV300,50,FALSE)=0,0,HLOOKUP("Headers",A1:CV300,50,FALSE)/HLOOKUP("Shots",A1:CV300,50,FALSE))</f>
      </c>
      <c r="U50" t="n" s="3843">
        <v>5.0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0.0</v>
      </c>
      <c r="Y50" t="n" s="3847">
        <v>4.0</v>
      </c>
      <c r="Z50" t="n" s="3848">
        <v>3.0</v>
      </c>
      <c r="AA50" s="3849">
        <f>IF(HLOOKUP("KP",A1:CV300,50,FALSE)=0,0,HLOOKUP("As",A1:CV300,50,FALSE)/HLOOKUP("KP",A1:CV300,50,FALSE))</f>
      </c>
      <c r="AB50" t="n" s="3850">
        <v>46.5</v>
      </c>
      <c r="AC50" t="n" s="3851">
        <v>38.0</v>
      </c>
      <c r="AD50" t="n" s="3852">
        <v>0.0</v>
      </c>
      <c r="AE50" t="n" s="3853">
        <v>3.0</v>
      </c>
      <c r="AF50" t="n" s="3854">
        <v>3.0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0.0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2.0</v>
      </c>
      <c r="AP50" s="3864">
        <f>IF(HLOOKUP("Gs",A1:CV300,50,FALSE)=0,0,HLOOKUP("GIB",A1:CV300,50,FALSE)/HLOOKUP("Gs",A1:CV300,50,FALSE))</f>
      </c>
      <c r="AQ50" t="n" s="3865">
        <v>1.0</v>
      </c>
      <c r="AR50" s="3866">
        <f>IF(HLOOKUP("Gs",A1:CV300,50,FALSE)=0,0,HLOOKUP("Gs - Open",A1:CV300,50,FALSE)/HLOOKUP("Gs",A1:CV300,50,FALSE))</f>
      </c>
      <c r="AS50" t="n" s="3867">
        <v>2.17</v>
      </c>
      <c r="AT50" t="n" s="3868">
        <v>0.19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0.393871545791626</v>
      </c>
      <c r="BY50" t="n" s="3899">
        <v>0.03528763726353645</v>
      </c>
      <c r="BZ50" s="3900">
        <f>4*HLOOKUP("uXG/90",A1:CV300,50,FALSE)+3*HLOOKUP("uXA/90",A1:CV300,50,FALSE)</f>
      </c>
    </row>
    <row r="51">
      <c r="A51" t="s" s="3901">
        <v>148</v>
      </c>
      <c r="B51" t="s" s="3902">
        <v>98</v>
      </c>
      <c r="C51" t="n" s="3903">
        <v>6.800000190734863</v>
      </c>
      <c r="D51" t="n" s="3904">
        <v>454.0</v>
      </c>
      <c r="E51" t="n" s="3905">
        <v>6.0</v>
      </c>
      <c r="F51" t="n" s="3906">
        <v>123.0</v>
      </c>
      <c r="G51" t="n" s="3907">
        <v>5.0</v>
      </c>
      <c r="H51" t="n" s="3908">
        <v>27.0</v>
      </c>
      <c r="I51" t="n" s="3909">
        <v>452.0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2.0</v>
      </c>
      <c r="M51" t="n" s="3913">
        <v>30.0</v>
      </c>
      <c r="N51" t="n" s="3914">
        <v>21.0</v>
      </c>
      <c r="O51" t="n" s="3915">
        <v>20.0</v>
      </c>
      <c r="P51" s="3916">
        <f>IF(HLOOKUP("Shots",A1:CV300,51,FALSE)=0,0,HLOOKUP("SIB",A1:CV300,51,FALSE)/HLOOKUP("Shots",A1:CV300,51,FALSE))</f>
      </c>
      <c r="Q51" t="n" s="3917">
        <v>4.0</v>
      </c>
      <c r="R51" s="3918">
        <f>IF(HLOOKUP("Shots",A1:CV300,51,FALSE)=0,0,HLOOKUP("S6YD",A1:CV300,51,FALSE)/HLOOKUP("Shots",A1:CV300,51,FALSE))</f>
      </c>
      <c r="S51" t="n" s="3919">
        <v>4.0</v>
      </c>
      <c r="T51" s="3920">
        <f>IF(HLOOKUP("Shots",A1:CV300,51,FALSE)=0,0,HLOOKUP("Headers",A1:CV300,51,FALSE)/HLOOKUP("Shots",A1:CV300,51,FALSE))</f>
      </c>
      <c r="U51" t="n" s="3921">
        <v>11.0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0.0</v>
      </c>
      <c r="Y51" t="n" s="3925">
        <v>1.0</v>
      </c>
      <c r="Z51" t="n" s="3926">
        <v>3.0</v>
      </c>
      <c r="AA51" s="3927">
        <f>IF(HLOOKUP("KP",A1:CV300,51,FALSE)=0,0,HLOOKUP("As",A1:CV300,51,FALSE)/HLOOKUP("KP",A1:CV300,51,FALSE))</f>
      </c>
      <c r="AB51" t="n" s="3928">
        <v>57.9</v>
      </c>
      <c r="AC51" t="n" s="3929">
        <v>62.0</v>
      </c>
      <c r="AD51" t="n" s="3930">
        <v>0.0</v>
      </c>
      <c r="AE51" t="n" s="3931">
        <v>6.0</v>
      </c>
      <c r="AF51" t="n" s="3932">
        <v>2.0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4.0</v>
      </c>
      <c r="AP51" s="3942">
        <f>IF(HLOOKUP("Gs",A1:CV300,51,FALSE)=0,0,HLOOKUP("GIB",A1:CV300,51,FALSE)/HLOOKUP("Gs",A1:CV300,51,FALSE))</f>
      </c>
      <c r="AQ51" t="n" s="3943">
        <v>5.0</v>
      </c>
      <c r="AR51" s="3944">
        <f>IF(HLOOKUP("Gs",A1:CV300,51,FALSE)=0,0,HLOOKUP("Gs - Open",A1:CV300,51,FALSE)/HLOOKUP("Gs",A1:CV300,51,FALSE))</f>
      </c>
      <c r="AS51" t="n" s="3945">
        <v>3.55</v>
      </c>
      <c r="AT51" t="n" s="3946">
        <v>0.1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0.6827301383018494</v>
      </c>
      <c r="BY51" t="n" s="3977">
        <v>0.015268306247889996</v>
      </c>
      <c r="BZ51" s="3978">
        <f>4*HLOOKUP("uXG/90",A1:CV300,51,FALSE)+3*HLOOKUP("uXA/90",A1:CV300,51,FALSE)</f>
      </c>
    </row>
    <row r="52">
      <c r="A52" t="s" s="3979">
        <v>149</v>
      </c>
      <c r="B52" t="s" s="3980">
        <v>117</v>
      </c>
      <c r="C52" t="n" s="3981">
        <v>4.800000190734863</v>
      </c>
      <c r="D52" t="n" s="3982">
        <v>3.0</v>
      </c>
      <c r="E52" t="n" s="3983">
        <v>1.0</v>
      </c>
      <c r="F52" t="n" s="3984">
        <v>4.0</v>
      </c>
      <c r="G52" t="n" s="3985">
        <v>0.0</v>
      </c>
      <c r="H52" t="n" s="3986">
        <v>0.0</v>
      </c>
      <c r="I52" t="n" s="3987">
        <v>11.0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0.0</v>
      </c>
      <c r="M52" t="n" s="3991">
        <v>0.0</v>
      </c>
      <c r="N52" t="n" s="3992">
        <v>0.0</v>
      </c>
      <c r="O52" t="n" s="3993">
        <v>0.0</v>
      </c>
      <c r="P52" s="3994">
        <f>IF(HLOOKUP("Shots",A1:CV300,52,FALSE)=0,0,HLOOKUP("SIB",A1:CV300,52,FALSE)/HLOOKUP("Shots",A1:CV300,52,FALSE))</f>
      </c>
      <c r="Q52" t="n" s="3995">
        <v>0.0</v>
      </c>
      <c r="R52" s="3996">
        <f>IF(HLOOKUP("Shots",A1:CV300,52,FALSE)=0,0,HLOOKUP("S6YD",A1:CV300,52,FALSE)/HLOOKUP("Shots",A1:CV300,52,FALSE))</f>
      </c>
      <c r="S52" t="n" s="3997">
        <v>0.0</v>
      </c>
      <c r="T52" s="3998">
        <f>IF(HLOOKUP("Shots",A1:CV300,52,FALSE)=0,0,HLOOKUP("Headers",A1:CV300,52,FALSE)/HLOOKUP("Shots",A1:CV300,52,FALSE))</f>
      </c>
      <c r="U52" t="n" s="3999">
        <v>0.0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0.0</v>
      </c>
      <c r="Y52" t="n" s="4003">
        <v>0.0</v>
      </c>
      <c r="Z52" t="n" s="4004">
        <v>0.0</v>
      </c>
      <c r="AA52" s="4005">
        <f>IF(HLOOKUP("KP",A1:CV300,52,FALSE)=0,0,HLOOKUP("As",A1:CV300,52,FALSE)/HLOOKUP("KP",A1:CV300,52,FALSE))</f>
      </c>
      <c r="AB52" t="n" s="4006">
        <v>0.2</v>
      </c>
      <c r="AC52" t="n" s="4007">
        <v>0.0</v>
      </c>
      <c r="AD52" t="n" s="4008">
        <v>0.0</v>
      </c>
      <c r="AE52" t="n" s="4009">
        <v>0.0</v>
      </c>
      <c r="AF52" t="n" s="4010">
        <v>0.0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0.0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0.0</v>
      </c>
      <c r="AP52" s="4020">
        <f>IF(HLOOKUP("Gs",A1:CV300,52,FALSE)=0,0,HLOOKUP("GIB",A1:CV300,52,FALSE)/HLOOKUP("Gs",A1:CV300,52,FALSE))</f>
      </c>
      <c r="AQ52" t="n" s="4021">
        <v>0.0</v>
      </c>
      <c r="AR52" s="4022">
        <f>IF(HLOOKUP("Gs",A1:CV300,52,FALSE)=0,0,HLOOKUP("Gs - Open",A1:CV300,52,FALSE)/HLOOKUP("Gs",A1:CV300,52,FALSE))</f>
      </c>
      <c r="AS52" t="n" s="4023">
        <v>0.0</v>
      </c>
      <c r="AT52" t="n" s="4024">
        <v>0.0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0.0</v>
      </c>
      <c r="BY52" t="n" s="4055">
        <v>0.0</v>
      </c>
      <c r="BZ52" s="4056">
        <f>4*HLOOKUP("uXG/90",A1:CV300,52,FALSE)+3*HLOOKUP("uXA/90",A1:CV300,52,FALSE)</f>
      </c>
    </row>
    <row r="53">
      <c r="A53" t="s" s="4057">
        <v>150</v>
      </c>
      <c r="B53" t="s" s="4058">
        <v>92</v>
      </c>
      <c r="C53" t="n" s="4059">
        <v>5.199999809265137</v>
      </c>
      <c r="D53" t="n" s="4060">
        <v>289.0</v>
      </c>
      <c r="E53" t="n" s="4061">
        <v>5.0</v>
      </c>
      <c r="F53" t="n" s="4062">
        <v>29.0</v>
      </c>
      <c r="G53" t="n" s="4063">
        <v>0.0</v>
      </c>
      <c r="H53" t="n" s="4064">
        <v>0.0</v>
      </c>
      <c r="I53" t="n" s="4065">
        <v>43.0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1.0</v>
      </c>
      <c r="M53" t="n" s="4069">
        <v>8.0</v>
      </c>
      <c r="N53" t="n" s="4070">
        <v>4.0</v>
      </c>
      <c r="O53" t="n" s="4071">
        <v>3.0</v>
      </c>
      <c r="P53" s="4072">
        <f>IF(HLOOKUP("Shots",A1:CV300,53,FALSE)=0,0,HLOOKUP("SIB",A1:CV300,53,FALSE)/HLOOKUP("Shots",A1:CV300,53,FALSE))</f>
      </c>
      <c r="Q53" t="n" s="4073">
        <v>2.0</v>
      </c>
      <c r="R53" s="4074">
        <f>IF(HLOOKUP("Shots",A1:CV300,53,FALSE)=0,0,HLOOKUP("S6YD",A1:CV300,53,FALSE)/HLOOKUP("Shots",A1:CV300,53,FALSE))</f>
      </c>
      <c r="S53" t="n" s="4075">
        <v>1.0</v>
      </c>
      <c r="T53" s="4076">
        <f>IF(HLOOKUP("Shots",A1:CV300,53,FALSE)=0,0,HLOOKUP("Headers",A1:CV300,53,FALSE)/HLOOKUP("Shots",A1:CV300,53,FALSE))</f>
      </c>
      <c r="U53" t="n" s="4077">
        <v>0.0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0.0</v>
      </c>
      <c r="Y53" t="n" s="4081">
        <v>0.0</v>
      </c>
      <c r="Z53" t="n" s="4082">
        <v>1.0</v>
      </c>
      <c r="AA53" s="4083">
        <f>IF(HLOOKUP("KP",A1:CV300,53,FALSE)=0,0,HLOOKUP("As",A1:CV300,53,FALSE)/HLOOKUP("KP",A1:CV300,53,FALSE))</f>
      </c>
      <c r="AB53" t="n" s="4084">
        <v>13.5</v>
      </c>
      <c r="AC53" t="n" s="4085">
        <v>0.0</v>
      </c>
      <c r="AD53" t="n" s="4086">
        <v>0.0</v>
      </c>
      <c r="AE53" t="n" s="4087">
        <v>1.0</v>
      </c>
      <c r="AF53" t="n" s="4088">
        <v>1.0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0.0</v>
      </c>
      <c r="AP53" s="4098">
        <f>IF(HLOOKUP("Gs",A1:CV300,53,FALSE)=0,0,HLOOKUP("GIB",A1:CV300,53,FALSE)/HLOOKUP("Gs",A1:CV300,53,FALSE))</f>
      </c>
      <c r="AQ53" t="n" s="4099">
        <v>0.0</v>
      </c>
      <c r="AR53" s="4100">
        <f>IF(HLOOKUP("Gs",A1:CV300,53,FALSE)=0,0,HLOOKUP("Gs - Open",A1:CV300,53,FALSE)/HLOOKUP("Gs",A1:CV300,53,FALSE))</f>
      </c>
      <c r="AS53" t="n" s="4101">
        <v>0.68</v>
      </c>
      <c r="AT53" t="n" s="4102">
        <v>0.07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0.25360897183418274</v>
      </c>
      <c r="BY53" t="n" s="4133">
        <v>0.0073914495296776295</v>
      </c>
      <c r="BZ53" s="4134">
        <f>4*HLOOKUP("uXG/90",A1:CV300,53,FALSE)+3*HLOOKUP("uXA/90",A1:CV300,53,FALSE)</f>
      </c>
    </row>
    <row r="54">
      <c r="A54" t="s" s="4135">
        <v>151</v>
      </c>
      <c r="B54" t="s" s="4136">
        <v>92</v>
      </c>
      <c r="C54" t="n" s="4137">
        <v>4.300000190734863</v>
      </c>
      <c r="D54" t="n" s="4138">
        <v>15.0</v>
      </c>
      <c r="E54" t="n" s="4139">
        <v>1.0</v>
      </c>
      <c r="F54" t="n" s="4140">
        <v>1.0</v>
      </c>
      <c r="G54" t="n" s="4141">
        <v>0.0</v>
      </c>
      <c r="H54" t="n" s="4142">
        <v>0.0</v>
      </c>
      <c r="I54" t="n" s="4143">
        <v>3.0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0.0</v>
      </c>
      <c r="L54" t="n" s="4146">
        <v>0.0</v>
      </c>
      <c r="M54" t="n" s="4147">
        <v>1.0</v>
      </c>
      <c r="N54" t="n" s="4148">
        <v>0.0</v>
      </c>
      <c r="O54" t="n" s="4149">
        <v>0.0</v>
      </c>
      <c r="P54" s="4150">
        <f>IF(HLOOKUP("Shots",A1:CV300,54,FALSE)=0,0,HLOOKUP("SIB",A1:CV300,54,FALSE)/HLOOKUP("Shots",A1:CV300,54,FALSE))</f>
      </c>
      <c r="Q54" t="n" s="4151">
        <v>0.0</v>
      </c>
      <c r="R54" s="4152">
        <f>IF(HLOOKUP("Shots",A1:CV300,54,FALSE)=0,0,HLOOKUP("S6YD",A1:CV300,54,FALSE)/HLOOKUP("Shots",A1:CV300,54,FALSE))</f>
      </c>
      <c r="S54" t="n" s="4153">
        <v>0.0</v>
      </c>
      <c r="T54" s="4154">
        <f>IF(HLOOKUP("Shots",A1:CV300,54,FALSE)=0,0,HLOOKUP("Headers",A1:CV300,54,FALSE)/HLOOKUP("Shots",A1:CV300,54,FALSE))</f>
      </c>
      <c r="U54" t="n" s="4155">
        <v>0.0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0.0</v>
      </c>
      <c r="Y54" t="n" s="4159">
        <v>0.0</v>
      </c>
      <c r="Z54" t="n" s="4160">
        <v>0.0</v>
      </c>
      <c r="AA54" s="4161">
        <f>IF(HLOOKUP("KP",A1:CV300,54,FALSE)=0,0,HLOOKUP("As",A1:CV300,54,FALSE)/HLOOKUP("KP",A1:CV300,54,FALSE))</f>
      </c>
      <c r="AB54" t="n" s="4162">
        <v>0.4</v>
      </c>
      <c r="AC54" t="n" s="4163">
        <v>0.0</v>
      </c>
      <c r="AD54" t="n" s="4164">
        <v>0.0</v>
      </c>
      <c r="AE54" t="n" s="4165">
        <v>0.0</v>
      </c>
      <c r="AF54" t="n" s="4166">
        <v>0.0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0.0</v>
      </c>
      <c r="AP54" s="4176">
        <f>IF(HLOOKUP("Gs",A1:CV300,54,FALSE)=0,0,HLOOKUP("GIB",A1:CV300,54,FALSE)/HLOOKUP("Gs",A1:CV300,54,FALSE))</f>
      </c>
      <c r="AQ54" t="n" s="4177">
        <v>0.0</v>
      </c>
      <c r="AR54" s="4178">
        <f>IF(HLOOKUP("Gs",A1:CV300,54,FALSE)=0,0,HLOOKUP("Gs - Open",A1:CV300,54,FALSE)/HLOOKUP("Gs",A1:CV300,54,FALSE))</f>
      </c>
      <c r="AS54" t="n" s="4179">
        <v>0.0</v>
      </c>
      <c r="AT54" t="n" s="4180">
        <v>0.0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0.0</v>
      </c>
      <c r="BY54" t="n" s="4211">
        <v>0.0</v>
      </c>
      <c r="BZ54" s="4212">
        <f>4*HLOOKUP("uXG/90",A1:CV300,54,FALSE)+3*HLOOKUP("uXA/90",A1:CV300,54,FALSE)</f>
      </c>
    </row>
    <row r="55">
      <c r="A55" t="s" s="4213">
        <v>152</v>
      </c>
      <c r="B55" t="s" s="4214">
        <v>127</v>
      </c>
      <c r="C55" t="n" s="4215">
        <v>5.199999809265137</v>
      </c>
      <c r="D55" t="n" s="4216">
        <v>47.0</v>
      </c>
      <c r="E55" t="n" s="4217">
        <v>5.0</v>
      </c>
      <c r="F55" t="n" s="4218">
        <v>43.0</v>
      </c>
      <c r="G55" t="n" s="4219">
        <v>0.0</v>
      </c>
      <c r="H55" t="n" s="4220">
        <v>6.0</v>
      </c>
      <c r="I55" t="n" s="4221">
        <v>159.0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</c>
      <c r="K55" t="n" s="4223">
        <v>0.0</v>
      </c>
      <c r="L55" t="n" s="4224">
        <v>0.0</v>
      </c>
      <c r="M55" t="n" s="4225">
        <v>6.0</v>
      </c>
      <c r="N55" t="n" s="4226">
        <v>2.0</v>
      </c>
      <c r="O55" t="n" s="4227">
        <v>2.0</v>
      </c>
      <c r="P55" s="4228">
        <f>IF(HLOOKUP("Shots",A1:CV300,55,FALSE)=0,0,HLOOKUP("SIB",A1:CV300,55,FALSE)/HLOOKUP("Shots",A1:CV300,55,FALSE))</f>
      </c>
      <c r="Q55" t="n" s="4229">
        <v>0.0</v>
      </c>
      <c r="R55" s="4230">
        <f>IF(HLOOKUP("Shots",A1:CV300,55,FALSE)=0,0,HLOOKUP("S6YD",A1:CV300,55,FALSE)/HLOOKUP("Shots",A1:CV300,55,FALSE))</f>
      </c>
      <c r="S55" t="n" s="4231">
        <v>0.0</v>
      </c>
      <c r="T55" s="4232">
        <f>IF(HLOOKUP("Shots",A1:CV300,55,FALSE)=0,0,HLOOKUP("Headers",A1:CV300,55,FALSE)/HLOOKUP("Shots",A1:CV300,55,FALSE))</f>
      </c>
      <c r="U55" t="n" s="4233">
        <v>1.0</v>
      </c>
      <c r="V55" s="4234">
        <f>IF(HLOOKUP("Shots",A1:CV300,55,FALSE)=0,0,HLOOKUP("SOT",A1:CV300,55,FALSE)/HLOOKUP("Shots",A1:CV300,55,FALSE))</f>
      </c>
      <c r="W55" s="4235">
        <f>IF(HLOOKUP("Shots",A1:CV300,55,FALSE)=0,0,HLOOKUP("Gs",A1:CV300,55,FALSE)/HLOOKUP("Shots",A1:CV300,55,FALSE))</f>
      </c>
      <c r="X55" t="n" s="4236">
        <v>1.0</v>
      </c>
      <c r="Y55" t="n" s="4237">
        <v>2.0</v>
      </c>
      <c r="Z55" t="n" s="4238">
        <v>1.0</v>
      </c>
      <c r="AA55" s="4239">
        <f>IF(HLOOKUP("KP",A1:CV300,55,FALSE)=0,0,HLOOKUP("As",A1:CV300,55,FALSE)/HLOOKUP("KP",A1:CV300,55,FALSE))</f>
      </c>
      <c r="AB55" t="n" s="4240">
        <v>7.1</v>
      </c>
      <c r="AC55" t="n" s="4241">
        <v>25.0</v>
      </c>
      <c r="AD55" t="n" s="4242">
        <v>1.0</v>
      </c>
      <c r="AE55" t="n" s="4243">
        <v>0.0</v>
      </c>
      <c r="AF55" t="n" s="4244">
        <v>0.0</v>
      </c>
      <c r="AG55" s="4245">
        <f>IF(HLOOKUP("BC",A1:CV300,55,FALSE)=0,0,HLOOKUP("Gs - BC",A1:CV300,55,FALSE)/HLOOKUP("BC",A1:CV300,55,FALSE))</f>
      </c>
      <c r="AH55" s="4246">
        <f>HLOOKUP("BC",A1:CV300,55,FALSE) - HLOOKUP("BC Miss",A1:CV300,55,FALSE)</f>
      </c>
      <c r="AI55" s="4247">
        <f>IF(HLOOKUP("Gs",A1:CV300,55,FALSE)=0,0,HLOOKUP("Gs - BC",A1:CV300,55,FALSE)/HLOOKUP("Gs",A1:CV300,55,FALSE))</f>
      </c>
      <c r="AJ55" t="n" s="4248">
        <v>0.0</v>
      </c>
      <c r="AK55" t="n" s="4249">
        <v>0.0</v>
      </c>
      <c r="AL55" s="4250">
        <f>HLOOKUP("BC",A1:CV300,55,FALSE) - (HLOOKUP("PK Gs",A1:CV300,55,FALSE) + HLOOKUP("PK Miss",A1:CV300,55,FALSE))</f>
      </c>
      <c r="AM55" s="4251">
        <f>HLOOKUP("BC Miss",A1:CV300,55,FALSE) - HLOOKUP("PK Miss",A1:CV300,55,FALSE)</f>
      </c>
      <c r="AN55" s="4252">
        <f>IF(HLOOKUP("BC - Open",A1:CV300,55,FALSE)=0,0,HLOOKUP("BC - Open Miss",A1:CV300,55,FALSE)/HLOOKUP("BC - Open",A1:CV300,55,FALSE))</f>
      </c>
      <c r="AO55" t="n" s="4253">
        <v>0.0</v>
      </c>
      <c r="AP55" s="4254">
        <f>IF(HLOOKUP("Gs",A1:CV300,55,FALSE)=0,0,HLOOKUP("GIB",A1:CV300,55,FALSE)/HLOOKUP("Gs",A1:CV300,55,FALSE))</f>
      </c>
      <c r="AQ55" t="n" s="4255">
        <v>0.0</v>
      </c>
      <c r="AR55" s="4256">
        <f>IF(HLOOKUP("Gs",A1:CV300,55,FALSE)=0,0,HLOOKUP("Gs - Open",A1:CV300,55,FALSE)/HLOOKUP("Gs",A1:CV300,55,FALSE))</f>
      </c>
      <c r="AS55" t="n" s="4257">
        <v>0.15</v>
      </c>
      <c r="AT55" t="n" s="4258">
        <v>0.01</v>
      </c>
      <c r="AU55" s="4259">
        <f>IF(HLOOKUP("Mins",A1:CV300,55,FALSE)=0,0,HLOOKUP("Pts",A1:CV300,55,FALSE)/HLOOKUP("Mins",A1:CV300,55,FALSE)* 90)</f>
      </c>
      <c r="AV55" s="4260">
        <f>IF(HLOOKUP("Apps",A1:CV300,55,FALSE)=0,0,HLOOKUP("Pts",A1:CV300,55,FALSE)/HLOOKUP("Apps",A1:CV300,55,FALSE)* 1)</f>
      </c>
      <c r="AW55" s="4261">
        <f>IF(HLOOKUP("Mins",A1:CV300,55,FALSE)=0,0,HLOOKUP("Gs",A1:CV300,55,FALSE)/HLOOKUP("Mins",A1:CV300,55,FALSE)* 90)</f>
      </c>
      <c r="AX55" s="4262">
        <f>IF(HLOOKUP("Mins",A1:CV300,55,FALSE)=0,0,HLOOKUP("Bonus",A1:CV300,55,FALSE)/HLOOKUP("Mins",A1:CV300,55,FALSE)* 90)</f>
      </c>
      <c r="AY55" s="4263">
        <f>IF(HLOOKUP("Mins",A1:CV300,55,FALSE)=0,0,HLOOKUP("BPS",A1:CV300,55,FALSE)/HLOOKUP("Mins",A1:CV300,55,FALSE)* 90)</f>
      </c>
      <c r="AZ55" s="4264">
        <f>IF(HLOOKUP("Mins",A1:CV300,55,FALSE)=0,0,HLOOKUP("Base BPS",A1:CV300,55,FALSE)/HLOOKUP("Mins",A1:CV300,55,FALSE)* 90)</f>
      </c>
      <c r="BA55" s="4265">
        <f>IF(HLOOKUP("Mins",A1:CV300,55,FALSE)=0,0,HLOOKUP("PenTchs",A1:CV300,55,FALSE)/HLOOKUP("Mins",A1:CV300,55,FALSE)* 90)</f>
      </c>
      <c r="BB55" s="4266">
        <f>IF(HLOOKUP("Mins",A1:CV300,55,FALSE)=0,0,HLOOKUP("Shots",A1:CV300,55,FALSE)/HLOOKUP("Mins",A1:CV300,55,FALSE)* 90)</f>
      </c>
      <c r="BC55" s="4267">
        <f>IF(HLOOKUP("Mins",A1:CV300,55,FALSE)=0,0,HLOOKUP("SIB",A1:CV300,55,FALSE)/HLOOKUP("Mins",A1:CV300,55,FALSE)* 90)</f>
      </c>
      <c r="BD55" s="4268">
        <f>IF(HLOOKUP("Mins",A1:CV300,55,FALSE)=0,0,HLOOKUP("S6YD",A1:CV300,55,FALSE)/HLOOKUP("Mins",A1:CV300,55,FALSE)* 90)</f>
      </c>
      <c r="BE55" s="4269">
        <f>IF(HLOOKUP("Mins",A1:CV300,55,FALSE)=0,0,HLOOKUP("Headers",A1:CV300,55,FALSE)/HLOOKUP("Mins",A1:CV300,55,FALSE)* 90)</f>
      </c>
      <c r="BF55" s="4270">
        <f>IF(HLOOKUP("Mins",A1:CV300,55,FALSE)=0,0,HLOOKUP("SOT",A1:CV300,55,FALSE)/HLOOKUP("Mins",A1:CV300,55,FALSE)* 90)</f>
      </c>
      <c r="BG55" s="4271">
        <f>IF(HLOOKUP("Mins",A1:CV300,55,FALSE)=0,0,HLOOKUP("As",A1:CV300,55,FALSE)/HLOOKUP("Mins",A1:CV300,55,FALSE)* 90)</f>
      </c>
      <c r="BH55" s="4272">
        <f>IF(HLOOKUP("Mins",A1:CV300,55,FALSE)=0,0,HLOOKUP("FPL As",A1:CV300,55,FALSE)/HLOOKUP("Mins",A1:CV300,55,FALSE)* 90)</f>
      </c>
      <c r="BI55" s="4273">
        <f>IF(HLOOKUP("Mins",A1:CV300,55,FALSE)=0,0,HLOOKUP("BC Created",A1:CV300,55,FALSE)/HLOOKUP("Mins",A1:CV300,55,FALSE)* 90)</f>
      </c>
      <c r="BJ55" s="4274">
        <f>IF(HLOOKUP("Mins",A1:CV300,55,FALSE)=0,0,HLOOKUP("KP",A1:CV300,55,FALSE)/HLOOKUP("Mins",A1:CV300,55,FALSE)* 90)</f>
      </c>
      <c r="BK55" s="4275">
        <f>IF(HLOOKUP("Mins",A1:CV300,55,FALSE)=0,0,HLOOKUP("BC",A1:CV300,55,FALSE)/HLOOKUP("Mins",A1:CV300,55,FALSE)* 90)</f>
      </c>
      <c r="BL55" s="4276">
        <f>IF(HLOOKUP("Mins",A1:CV300,55,FALSE)=0,0,HLOOKUP("BC Miss",A1:CV300,55,FALSE)/HLOOKUP("Mins",A1:CV300,55,FALSE)* 90)</f>
      </c>
      <c r="BM55" s="4277">
        <f>IF(HLOOKUP("Mins",A1:CV300,55,FALSE)=0,0,HLOOKUP("Gs - BC",A1:CV300,55,FALSE)/HLOOKUP("Mins",A1:CV300,55,FALSE)* 90)</f>
      </c>
      <c r="BN55" s="4278">
        <f>IF(HLOOKUP("Mins",A1:CV300,55,FALSE)=0,0,HLOOKUP("GIB",A1:CV300,55,FALSE)/HLOOKUP("Mins",A1:CV300,55,FALSE)* 90)</f>
      </c>
      <c r="BO55" s="4279">
        <f>IF(HLOOKUP("Mins",A1:CV300,55,FALSE)=0,0,HLOOKUP("Gs - Open",A1:CV300,55,FALSE)/HLOOKUP("Mins",A1:CV300,55,FALSE)* 90)</f>
      </c>
      <c r="BP55" s="4280">
        <f>IF(HLOOKUP("Mins",A1:CV300,55,FALSE)=0,0,HLOOKUP("ICT Index",A1:CV300,55,FALSE)/HLOOKUP("Mins",A1:CV300,55,FALSE)* 90)</f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</c>
      <c r="BR55" s="4282">
        <f>0.103*HLOOKUP("KP/90",A1:CV300,55,FALSE)</f>
      </c>
      <c r="BS55" s="4283">
        <f>4*HLOOKUP("xG/90",A1:CV300,55,FALSE)+3*HLOOKUP("xA/90",A1:CV300,55,FALSE)</f>
      </c>
      <c r="BT55" s="4284">
        <f>HLOOKUP("xPts/90",A1:CV300,55,FALSE)-(4*0.75*(HLOOKUP("PK Gs",A1:CV300,55,FALSE)+HLOOKUP("PK Miss",A1:CV300,55,FALSE))*90/HLOOKUP("Mins",A1:CV300,55,FALSE))</f>
      </c>
      <c r="BU55" s="4285">
        <f>IF(HLOOKUP("Mins",A1:CV300,55,FALSE)=0,0,HLOOKUP("fsXG",A1:CV300,55,FALSE)/HLOOKUP("Mins",A1:CV300,55,FALSE)* 90)</f>
      </c>
      <c r="BV55" s="4286">
        <f>IF(HLOOKUP("Mins",A1:CV300,55,FALSE)=0,0,HLOOKUP("fsXA",A1:CV300,55,FALSE)/HLOOKUP("Mins",A1:CV300,55,FALSE)* 90)</f>
      </c>
      <c r="BW55" s="4287">
        <f>4*HLOOKUP("fsXG/90",A1:CV300,55,FALSE)+3*HLOOKUP("fsXA/90",A1:CV300,55,FALSE)</f>
      </c>
      <c r="BX55" t="n" s="4288">
        <v>0.5697489976882935</v>
      </c>
      <c r="BY55" t="n" s="4289">
        <v>1.080521821975708</v>
      </c>
      <c r="BZ55" s="4290">
        <f>4*HLOOKUP("uXG/90",A1:CV300,55,FALSE)+3*HLOOKUP("uXA/90",A1:CV300,55,FALSE)</f>
      </c>
    </row>
    <row r="56">
      <c r="A56" t="s" s="4291">
        <v>153</v>
      </c>
      <c r="B56" t="s" s="4292">
        <v>147</v>
      </c>
      <c r="C56" t="n" s="4293">
        <v>6.599999904632568</v>
      </c>
      <c r="D56" t="n" s="4294">
        <v>22.0</v>
      </c>
      <c r="E56" t="n" s="4295">
        <v>2.0</v>
      </c>
      <c r="F56" t="n" s="4296">
        <v>23.0</v>
      </c>
      <c r="G56" t="n" s="4297">
        <v>0.0</v>
      </c>
      <c r="H56" t="n" s="4298">
        <v>1.0</v>
      </c>
      <c r="I56" t="n" s="4299">
        <v>57.0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</c>
      <c r="K56" t="n" s="4301">
        <v>0.0</v>
      </c>
      <c r="L56" t="n" s="4302">
        <v>0.0</v>
      </c>
      <c r="M56" t="n" s="4303">
        <v>2.0</v>
      </c>
      <c r="N56" t="n" s="4304">
        <v>1.0</v>
      </c>
      <c r="O56" t="n" s="4305">
        <v>1.0</v>
      </c>
      <c r="P56" s="4306">
        <f>IF(HLOOKUP("Shots",A1:CV300,56,FALSE)=0,0,HLOOKUP("SIB",A1:CV300,56,FALSE)/HLOOKUP("Shots",A1:CV300,56,FALSE))</f>
      </c>
      <c r="Q56" t="n" s="4307">
        <v>0.0</v>
      </c>
      <c r="R56" s="4308">
        <f>IF(HLOOKUP("Shots",A1:CV300,56,FALSE)=0,0,HLOOKUP("S6YD",A1:CV300,56,FALSE)/HLOOKUP("Shots",A1:CV300,56,FALSE))</f>
      </c>
      <c r="S56" t="n" s="4309">
        <v>0.0</v>
      </c>
      <c r="T56" s="4310">
        <f>IF(HLOOKUP("Shots",A1:CV300,56,FALSE)=0,0,HLOOKUP("Headers",A1:CV300,56,FALSE)/HLOOKUP("Shots",A1:CV300,56,FALSE))</f>
      </c>
      <c r="U56" t="n" s="4311">
        <v>0.0</v>
      </c>
      <c r="V56" s="4312">
        <f>IF(HLOOKUP("Shots",A1:CV300,56,FALSE)=0,0,HLOOKUP("SOT",A1:CV300,56,FALSE)/HLOOKUP("Shots",A1:CV300,56,FALSE))</f>
      </c>
      <c r="W56" s="4313">
        <f>IF(HLOOKUP("Shots",A1:CV300,56,FALSE)=0,0,HLOOKUP("Gs",A1:CV300,56,FALSE)/HLOOKUP("Shots",A1:CV300,56,FALSE))</f>
      </c>
      <c r="X56" t="n" s="4314">
        <v>0.0</v>
      </c>
      <c r="Y56" t="n" s="4315">
        <v>2.0</v>
      </c>
      <c r="Z56" t="n" s="4316">
        <v>0.0</v>
      </c>
      <c r="AA56" s="4317">
        <f>IF(HLOOKUP("KP",A1:CV300,56,FALSE)=0,0,HLOOKUP("As",A1:CV300,56,FALSE)/HLOOKUP("KP",A1:CV300,56,FALSE))</f>
      </c>
      <c r="AB56" t="n" s="4318">
        <v>1.4</v>
      </c>
      <c r="AC56" t="n" s="4319">
        <v>0.0</v>
      </c>
      <c r="AD56" t="n" s="4320">
        <v>0.0</v>
      </c>
      <c r="AE56" t="n" s="4321">
        <v>0.0</v>
      </c>
      <c r="AF56" t="n" s="4322">
        <v>0.0</v>
      </c>
      <c r="AG56" s="4323">
        <f>IF(HLOOKUP("BC",A1:CV300,56,FALSE)=0,0,HLOOKUP("Gs - BC",A1:CV300,56,FALSE)/HLOOKUP("BC",A1:CV300,56,FALSE))</f>
      </c>
      <c r="AH56" s="4324">
        <f>HLOOKUP("BC",A1:CV300,56,FALSE) - HLOOKUP("BC Miss",A1:CV300,56,FALSE)</f>
      </c>
      <c r="AI56" s="4325">
        <f>IF(HLOOKUP("Gs",A1:CV300,56,FALSE)=0,0,HLOOKUP("Gs - BC",A1:CV300,56,FALSE)/HLOOKUP("Gs",A1:CV300,56,FALSE))</f>
      </c>
      <c r="AJ56" t="n" s="4326">
        <v>0.0</v>
      </c>
      <c r="AK56" t="n" s="4327">
        <v>0.0</v>
      </c>
      <c r="AL56" s="4328">
        <f>HLOOKUP("BC",A1:CV300,56,FALSE) - (HLOOKUP("PK Gs",A1:CV300,56,FALSE) + HLOOKUP("PK Miss",A1:CV300,56,FALSE))</f>
      </c>
      <c r="AM56" s="4329">
        <f>HLOOKUP("BC Miss",A1:CV300,56,FALSE) - HLOOKUP("PK Miss",A1:CV300,56,FALSE)</f>
      </c>
      <c r="AN56" s="4330">
        <f>IF(HLOOKUP("BC - Open",A1:CV300,56,FALSE)=0,0,HLOOKUP("BC - Open Miss",A1:CV300,56,FALSE)/HLOOKUP("BC - Open",A1:CV300,56,FALSE))</f>
      </c>
      <c r="AO56" t="n" s="4331">
        <v>0.0</v>
      </c>
      <c r="AP56" s="4332">
        <f>IF(HLOOKUP("Gs",A1:CV300,56,FALSE)=0,0,HLOOKUP("GIB",A1:CV300,56,FALSE)/HLOOKUP("Gs",A1:CV300,56,FALSE))</f>
      </c>
      <c r="AQ56" t="n" s="4333">
        <v>0.0</v>
      </c>
      <c r="AR56" s="4334">
        <f>IF(HLOOKUP("Gs",A1:CV300,56,FALSE)=0,0,HLOOKUP("Gs - Open",A1:CV300,56,FALSE)/HLOOKUP("Gs",A1:CV300,56,FALSE))</f>
      </c>
      <c r="AS56" t="n" s="4335">
        <v>0.04</v>
      </c>
      <c r="AT56" t="n" s="4336">
        <v>0.01</v>
      </c>
      <c r="AU56" s="4337">
        <f>IF(HLOOKUP("Mins",A1:CV300,56,FALSE)=0,0,HLOOKUP("Pts",A1:CV300,56,FALSE)/HLOOKUP("Mins",A1:CV300,56,FALSE)* 90)</f>
      </c>
      <c r="AV56" s="4338">
        <f>IF(HLOOKUP("Apps",A1:CV300,56,FALSE)=0,0,HLOOKUP("Pts",A1:CV300,56,FALSE)/HLOOKUP("Apps",A1:CV300,56,FALSE)* 1)</f>
      </c>
      <c r="AW56" s="4339">
        <f>IF(HLOOKUP("Mins",A1:CV300,56,FALSE)=0,0,HLOOKUP("Gs",A1:CV300,56,FALSE)/HLOOKUP("Mins",A1:CV300,56,FALSE)* 90)</f>
      </c>
      <c r="AX56" s="4340">
        <f>IF(HLOOKUP("Mins",A1:CV300,56,FALSE)=0,0,HLOOKUP("Bonus",A1:CV300,56,FALSE)/HLOOKUP("Mins",A1:CV300,56,FALSE)* 90)</f>
      </c>
      <c r="AY56" s="4341">
        <f>IF(HLOOKUP("Mins",A1:CV300,56,FALSE)=0,0,HLOOKUP("BPS",A1:CV300,56,FALSE)/HLOOKUP("Mins",A1:CV300,56,FALSE)* 90)</f>
      </c>
      <c r="AZ56" s="4342">
        <f>IF(HLOOKUP("Mins",A1:CV300,56,FALSE)=0,0,HLOOKUP("Base BPS",A1:CV300,56,FALSE)/HLOOKUP("Mins",A1:CV300,56,FALSE)* 90)</f>
      </c>
      <c r="BA56" s="4343">
        <f>IF(HLOOKUP("Mins",A1:CV300,56,FALSE)=0,0,HLOOKUP("PenTchs",A1:CV300,56,FALSE)/HLOOKUP("Mins",A1:CV300,56,FALSE)* 90)</f>
      </c>
      <c r="BB56" s="4344">
        <f>IF(HLOOKUP("Mins",A1:CV300,56,FALSE)=0,0,HLOOKUP("Shots",A1:CV300,56,FALSE)/HLOOKUP("Mins",A1:CV300,56,FALSE)* 90)</f>
      </c>
      <c r="BC56" s="4345">
        <f>IF(HLOOKUP("Mins",A1:CV300,56,FALSE)=0,0,HLOOKUP("SIB",A1:CV300,56,FALSE)/HLOOKUP("Mins",A1:CV300,56,FALSE)* 90)</f>
      </c>
      <c r="BD56" s="4346">
        <f>IF(HLOOKUP("Mins",A1:CV300,56,FALSE)=0,0,HLOOKUP("S6YD",A1:CV300,56,FALSE)/HLOOKUP("Mins",A1:CV300,56,FALSE)* 90)</f>
      </c>
      <c r="BE56" s="4347">
        <f>IF(HLOOKUP("Mins",A1:CV300,56,FALSE)=0,0,HLOOKUP("Headers",A1:CV300,56,FALSE)/HLOOKUP("Mins",A1:CV300,56,FALSE)* 90)</f>
      </c>
      <c r="BF56" s="4348">
        <f>IF(HLOOKUP("Mins",A1:CV300,56,FALSE)=0,0,HLOOKUP("SOT",A1:CV300,56,FALSE)/HLOOKUP("Mins",A1:CV300,56,FALSE)* 90)</f>
      </c>
      <c r="BG56" s="4349">
        <f>IF(HLOOKUP("Mins",A1:CV300,56,FALSE)=0,0,HLOOKUP("As",A1:CV300,56,FALSE)/HLOOKUP("Mins",A1:CV300,56,FALSE)* 90)</f>
      </c>
      <c r="BH56" s="4350">
        <f>IF(HLOOKUP("Mins",A1:CV300,56,FALSE)=0,0,HLOOKUP("FPL As",A1:CV300,56,FALSE)/HLOOKUP("Mins",A1:CV300,56,FALSE)* 90)</f>
      </c>
      <c r="BI56" s="4351">
        <f>IF(HLOOKUP("Mins",A1:CV300,56,FALSE)=0,0,HLOOKUP("BC Created",A1:CV300,56,FALSE)/HLOOKUP("Mins",A1:CV300,56,FALSE)* 90)</f>
      </c>
      <c r="BJ56" s="4352">
        <f>IF(HLOOKUP("Mins",A1:CV300,56,FALSE)=0,0,HLOOKUP("KP",A1:CV300,56,FALSE)/HLOOKUP("Mins",A1:CV300,56,FALSE)* 90)</f>
      </c>
      <c r="BK56" s="4353">
        <f>IF(HLOOKUP("Mins",A1:CV300,56,FALSE)=0,0,HLOOKUP("BC",A1:CV300,56,FALSE)/HLOOKUP("Mins",A1:CV300,56,FALSE)* 90)</f>
      </c>
      <c r="BL56" s="4354">
        <f>IF(HLOOKUP("Mins",A1:CV300,56,FALSE)=0,0,HLOOKUP("BC Miss",A1:CV300,56,FALSE)/HLOOKUP("Mins",A1:CV300,56,FALSE)* 90)</f>
      </c>
      <c r="BM56" s="4355">
        <f>IF(HLOOKUP("Mins",A1:CV300,56,FALSE)=0,0,HLOOKUP("Gs - BC",A1:CV300,56,FALSE)/HLOOKUP("Mins",A1:CV300,56,FALSE)* 90)</f>
      </c>
      <c r="BN56" s="4356">
        <f>IF(HLOOKUP("Mins",A1:CV300,56,FALSE)=0,0,HLOOKUP("GIB",A1:CV300,56,FALSE)/HLOOKUP("Mins",A1:CV300,56,FALSE)* 90)</f>
      </c>
      <c r="BO56" s="4357">
        <f>IF(HLOOKUP("Mins",A1:CV300,56,FALSE)=0,0,HLOOKUP("Gs - Open",A1:CV300,56,FALSE)/HLOOKUP("Mins",A1:CV300,56,FALSE)* 90)</f>
      </c>
      <c r="BP56" s="4358">
        <f>IF(HLOOKUP("Mins",A1:CV300,56,FALSE)=0,0,HLOOKUP("ICT Index",A1:CV300,56,FALSE)/HLOOKUP("Mins",A1:CV300,56,FALSE)* 90)</f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</c>
      <c r="BR56" s="4360">
        <f>0.103*HLOOKUP("KP/90",A1:CV300,56,FALSE)</f>
      </c>
      <c r="BS56" s="4361">
        <f>4*HLOOKUP("xG/90",A1:CV300,56,FALSE)+3*HLOOKUP("xA/90",A1:CV300,56,FALSE)</f>
      </c>
      <c r="BT56" s="4362">
        <f>HLOOKUP("xPts/90",A1:CV300,56,FALSE)-(4*0.75*(HLOOKUP("PK Gs",A1:CV300,56,FALSE)+HLOOKUP("PK Miss",A1:CV300,56,FALSE))*90/HLOOKUP("Mins",A1:CV300,56,FALSE))</f>
      </c>
      <c r="BU56" s="4363">
        <f>IF(HLOOKUP("Mins",A1:CV300,56,FALSE)=0,0,HLOOKUP("fsXG",A1:CV300,56,FALSE)/HLOOKUP("Mins",A1:CV300,56,FALSE)* 90)</f>
      </c>
      <c r="BV56" s="4364">
        <f>IF(HLOOKUP("Mins",A1:CV300,56,FALSE)=0,0,HLOOKUP("fsXA",A1:CV300,56,FALSE)/HLOOKUP("Mins",A1:CV300,56,FALSE)* 90)</f>
      </c>
      <c r="BW56" s="4365">
        <f>4*HLOOKUP("fsXG/90",A1:CV300,56,FALSE)+3*HLOOKUP("fsXA/90",A1:CV300,56,FALSE)</f>
      </c>
      <c r="BX56" t="n" s="4366">
        <v>0.46114304661750793</v>
      </c>
      <c r="BY56" t="n" s="4367">
        <v>0.0</v>
      </c>
      <c r="BZ56" s="4368">
        <f>4*HLOOKUP("uXG/90",A1:CV300,56,FALSE)+3*HLOOKUP("uXA/90",A1:CV300,56,FALSE)</f>
      </c>
    </row>
    <row r="57">
      <c r="A57" t="s" s="4369">
        <v>154</v>
      </c>
      <c r="B57" t="s" s="4370">
        <v>107</v>
      </c>
      <c r="C57" t="n" s="4371">
        <v>4.400000095367432</v>
      </c>
      <c r="D57" t="n" s="4372">
        <v>45.0</v>
      </c>
      <c r="E57" t="n" s="4373">
        <v>2.0</v>
      </c>
      <c r="F57" t="n" s="4374">
        <v>13.0</v>
      </c>
      <c r="G57" t="n" s="4375">
        <v>1.0</v>
      </c>
      <c r="H57" t="n" s="4376">
        <v>2.0</v>
      </c>
      <c r="I57" t="n" s="4377">
        <v>41.0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</c>
      <c r="K57" t="n" s="4379">
        <v>0.0</v>
      </c>
      <c r="L57" t="n" s="4380">
        <v>0.0</v>
      </c>
      <c r="M57" t="n" s="4381">
        <v>4.0</v>
      </c>
      <c r="N57" t="n" s="4382">
        <v>2.0</v>
      </c>
      <c r="O57" t="n" s="4383">
        <v>2.0</v>
      </c>
      <c r="P57" s="4384">
        <f>IF(HLOOKUP("Shots",A1:CV300,57,FALSE)=0,0,HLOOKUP("SIB",A1:CV300,57,FALSE)/HLOOKUP("Shots",A1:CV300,57,FALSE))</f>
      </c>
      <c r="Q57" t="n" s="4385">
        <v>1.0</v>
      </c>
      <c r="R57" s="4386">
        <f>IF(HLOOKUP("Shots",A1:CV300,57,FALSE)=0,0,HLOOKUP("S6YD",A1:CV300,57,FALSE)/HLOOKUP("Shots",A1:CV300,57,FALSE))</f>
      </c>
      <c r="S57" t="n" s="4387">
        <v>0.0</v>
      </c>
      <c r="T57" s="4388">
        <f>IF(HLOOKUP("Shots",A1:CV300,57,FALSE)=0,0,HLOOKUP("Headers",A1:CV300,57,FALSE)/HLOOKUP("Shots",A1:CV300,57,FALSE))</f>
      </c>
      <c r="U57" t="n" s="4389">
        <v>2.0</v>
      </c>
      <c r="V57" s="4390">
        <f>IF(HLOOKUP("Shots",A1:CV300,57,FALSE)=0,0,HLOOKUP("SOT",A1:CV300,57,FALSE)/HLOOKUP("Shots",A1:CV300,57,FALSE))</f>
      </c>
      <c r="W57" s="4391">
        <f>IF(HLOOKUP("Shots",A1:CV300,57,FALSE)=0,0,HLOOKUP("Gs",A1:CV300,57,FALSE)/HLOOKUP("Shots",A1:CV300,57,FALSE))</f>
      </c>
      <c r="X57" t="n" s="4392">
        <v>1.0</v>
      </c>
      <c r="Y57" t="n" s="4393">
        <v>1.0</v>
      </c>
      <c r="Z57" t="n" s="4394">
        <v>2.0</v>
      </c>
      <c r="AA57" s="4395">
        <f>IF(HLOOKUP("KP",A1:CV300,57,FALSE)=0,0,HLOOKUP("As",A1:CV300,57,FALSE)/HLOOKUP("KP",A1:CV300,57,FALSE))</f>
      </c>
      <c r="AB57" t="n" s="4396">
        <v>13.3</v>
      </c>
      <c r="AC57" t="n" s="4397">
        <v>100.0</v>
      </c>
      <c r="AD57" t="n" s="4398">
        <v>1.0</v>
      </c>
      <c r="AE57" t="n" s="4399">
        <v>2.0</v>
      </c>
      <c r="AF57" t="n" s="4400">
        <v>1.0</v>
      </c>
      <c r="AG57" s="4401">
        <f>IF(HLOOKUP("BC",A1:CV300,57,FALSE)=0,0,HLOOKUP("Gs - BC",A1:CV300,57,FALSE)/HLOOKUP("BC",A1:CV300,57,FALSE))</f>
      </c>
      <c r="AH57" s="4402">
        <f>HLOOKUP("BC",A1:CV300,57,FALSE) - HLOOKUP("BC Miss",A1:CV300,57,FALSE)</f>
      </c>
      <c r="AI57" s="4403">
        <f>IF(HLOOKUP("Gs",A1:CV300,57,FALSE)=0,0,HLOOKUP("Gs - BC",A1:CV300,57,FALSE)/HLOOKUP("Gs",A1:CV300,57,FALSE))</f>
      </c>
      <c r="AJ57" t="n" s="4404">
        <v>0.0</v>
      </c>
      <c r="AK57" t="n" s="4405">
        <v>0.0</v>
      </c>
      <c r="AL57" s="4406">
        <f>HLOOKUP("BC",A1:CV300,57,FALSE) - (HLOOKUP("PK Gs",A1:CV300,57,FALSE) + HLOOKUP("PK Miss",A1:CV300,57,FALSE))</f>
      </c>
      <c r="AM57" s="4407">
        <f>HLOOKUP("BC Miss",A1:CV300,57,FALSE) - HLOOKUP("PK Miss",A1:CV300,57,FALSE)</f>
      </c>
      <c r="AN57" s="4408">
        <f>IF(HLOOKUP("BC - Open",A1:CV300,57,FALSE)=0,0,HLOOKUP("BC - Open Miss",A1:CV300,57,FALSE)/HLOOKUP("BC - Open",A1:CV300,57,FALSE))</f>
      </c>
      <c r="AO57" t="n" s="4409">
        <v>1.0</v>
      </c>
      <c r="AP57" s="4410">
        <f>IF(HLOOKUP("Gs",A1:CV300,57,FALSE)=0,0,HLOOKUP("GIB",A1:CV300,57,FALSE)/HLOOKUP("Gs",A1:CV300,57,FALSE))</f>
      </c>
      <c r="AQ57" t="n" s="4411">
        <v>1.0</v>
      </c>
      <c r="AR57" s="4412">
        <f>IF(HLOOKUP("Gs",A1:CV300,57,FALSE)=0,0,HLOOKUP("Gs - Open",A1:CV300,57,FALSE)/HLOOKUP("Gs",A1:CV300,57,FALSE))</f>
      </c>
      <c r="AS57" t="n" s="4413">
        <v>1.32</v>
      </c>
      <c r="AT57" t="n" s="4414">
        <v>0.01</v>
      </c>
      <c r="AU57" s="4415">
        <f>IF(HLOOKUP("Mins",A1:CV300,57,FALSE)=0,0,HLOOKUP("Pts",A1:CV300,57,FALSE)/HLOOKUP("Mins",A1:CV300,57,FALSE)* 90)</f>
      </c>
      <c r="AV57" s="4416">
        <f>IF(HLOOKUP("Apps",A1:CV300,57,FALSE)=0,0,HLOOKUP("Pts",A1:CV300,57,FALSE)/HLOOKUP("Apps",A1:CV300,57,FALSE)* 1)</f>
      </c>
      <c r="AW57" s="4417">
        <f>IF(HLOOKUP("Mins",A1:CV300,57,FALSE)=0,0,HLOOKUP("Gs",A1:CV300,57,FALSE)/HLOOKUP("Mins",A1:CV300,57,FALSE)* 90)</f>
      </c>
      <c r="AX57" s="4418">
        <f>IF(HLOOKUP("Mins",A1:CV300,57,FALSE)=0,0,HLOOKUP("Bonus",A1:CV300,57,FALSE)/HLOOKUP("Mins",A1:CV300,57,FALSE)* 90)</f>
      </c>
      <c r="AY57" s="4419">
        <f>IF(HLOOKUP("Mins",A1:CV300,57,FALSE)=0,0,HLOOKUP("BPS",A1:CV300,57,FALSE)/HLOOKUP("Mins",A1:CV300,57,FALSE)* 90)</f>
      </c>
      <c r="AZ57" s="4420">
        <f>IF(HLOOKUP("Mins",A1:CV300,57,FALSE)=0,0,HLOOKUP("Base BPS",A1:CV300,57,FALSE)/HLOOKUP("Mins",A1:CV300,57,FALSE)* 90)</f>
      </c>
      <c r="BA57" s="4421">
        <f>IF(HLOOKUP("Mins",A1:CV300,57,FALSE)=0,0,HLOOKUP("PenTchs",A1:CV300,57,FALSE)/HLOOKUP("Mins",A1:CV300,57,FALSE)* 90)</f>
      </c>
      <c r="BB57" s="4422">
        <f>IF(HLOOKUP("Mins",A1:CV300,57,FALSE)=0,0,HLOOKUP("Shots",A1:CV300,57,FALSE)/HLOOKUP("Mins",A1:CV300,57,FALSE)* 90)</f>
      </c>
      <c r="BC57" s="4423">
        <f>IF(HLOOKUP("Mins",A1:CV300,57,FALSE)=0,0,HLOOKUP("SIB",A1:CV300,57,FALSE)/HLOOKUP("Mins",A1:CV300,57,FALSE)* 90)</f>
      </c>
      <c r="BD57" s="4424">
        <f>IF(HLOOKUP("Mins",A1:CV300,57,FALSE)=0,0,HLOOKUP("S6YD",A1:CV300,57,FALSE)/HLOOKUP("Mins",A1:CV300,57,FALSE)* 90)</f>
      </c>
      <c r="BE57" s="4425">
        <f>IF(HLOOKUP("Mins",A1:CV300,57,FALSE)=0,0,HLOOKUP("Headers",A1:CV300,57,FALSE)/HLOOKUP("Mins",A1:CV300,57,FALSE)* 90)</f>
      </c>
      <c r="BF57" s="4426">
        <f>IF(HLOOKUP("Mins",A1:CV300,57,FALSE)=0,0,HLOOKUP("SOT",A1:CV300,57,FALSE)/HLOOKUP("Mins",A1:CV300,57,FALSE)* 90)</f>
      </c>
      <c r="BG57" s="4427">
        <f>IF(HLOOKUP("Mins",A1:CV300,57,FALSE)=0,0,HLOOKUP("As",A1:CV300,57,FALSE)/HLOOKUP("Mins",A1:CV300,57,FALSE)* 90)</f>
      </c>
      <c r="BH57" s="4428">
        <f>IF(HLOOKUP("Mins",A1:CV300,57,FALSE)=0,0,HLOOKUP("FPL As",A1:CV300,57,FALSE)/HLOOKUP("Mins",A1:CV300,57,FALSE)* 90)</f>
      </c>
      <c r="BI57" s="4429">
        <f>IF(HLOOKUP("Mins",A1:CV300,57,FALSE)=0,0,HLOOKUP("BC Created",A1:CV300,57,FALSE)/HLOOKUP("Mins",A1:CV300,57,FALSE)* 90)</f>
      </c>
      <c r="BJ57" s="4430">
        <f>IF(HLOOKUP("Mins",A1:CV300,57,FALSE)=0,0,HLOOKUP("KP",A1:CV300,57,FALSE)/HLOOKUP("Mins",A1:CV300,57,FALSE)* 90)</f>
      </c>
      <c r="BK57" s="4431">
        <f>IF(HLOOKUP("Mins",A1:CV300,57,FALSE)=0,0,HLOOKUP("BC",A1:CV300,57,FALSE)/HLOOKUP("Mins",A1:CV300,57,FALSE)* 90)</f>
      </c>
      <c r="BL57" s="4432">
        <f>IF(HLOOKUP("Mins",A1:CV300,57,FALSE)=0,0,HLOOKUP("BC Miss",A1:CV300,57,FALSE)/HLOOKUP("Mins",A1:CV300,57,FALSE)* 90)</f>
      </c>
      <c r="BM57" s="4433">
        <f>IF(HLOOKUP("Mins",A1:CV300,57,FALSE)=0,0,HLOOKUP("Gs - BC",A1:CV300,57,FALSE)/HLOOKUP("Mins",A1:CV300,57,FALSE)* 90)</f>
      </c>
      <c r="BN57" s="4434">
        <f>IF(HLOOKUP("Mins",A1:CV300,57,FALSE)=0,0,HLOOKUP("GIB",A1:CV300,57,FALSE)/HLOOKUP("Mins",A1:CV300,57,FALSE)* 90)</f>
      </c>
      <c r="BO57" s="4435">
        <f>IF(HLOOKUP("Mins",A1:CV300,57,FALSE)=0,0,HLOOKUP("Gs - Open",A1:CV300,57,FALSE)/HLOOKUP("Mins",A1:CV300,57,FALSE)* 90)</f>
      </c>
      <c r="BP57" s="4436">
        <f>IF(HLOOKUP("Mins",A1:CV300,57,FALSE)=0,0,HLOOKUP("ICT Index",A1:CV300,57,FALSE)/HLOOKUP("Mins",A1:CV300,57,FALSE)* 90)</f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</c>
      <c r="BR57" s="4438">
        <f>0.103*HLOOKUP("KP/90",A1:CV300,57,FALSE)</f>
      </c>
      <c r="BS57" s="4439">
        <f>4*HLOOKUP("xG/90",A1:CV300,57,FALSE)+3*HLOOKUP("xA/90",A1:CV300,57,FALSE)</f>
      </c>
      <c r="BT57" s="4440">
        <f>HLOOKUP("xPts/90",A1:CV300,57,FALSE)-(4*0.75*(HLOOKUP("PK Gs",A1:CV300,57,FALSE)+HLOOKUP("PK Miss",A1:CV300,57,FALSE))*90/HLOOKUP("Mins",A1:CV300,57,FALSE))</f>
      </c>
      <c r="BU57" s="4441">
        <f>IF(HLOOKUP("Mins",A1:CV300,57,FALSE)=0,0,HLOOKUP("fsXG",A1:CV300,57,FALSE)/HLOOKUP("Mins",A1:CV300,57,FALSE)* 90)</f>
      </c>
      <c r="BV57" s="4442">
        <f>IF(HLOOKUP("Mins",A1:CV300,57,FALSE)=0,0,HLOOKUP("fsXA",A1:CV300,57,FALSE)/HLOOKUP("Mins",A1:CV300,57,FALSE)* 90)</f>
      </c>
      <c r="BW57" s="4443">
        <f>4*HLOOKUP("fsXG/90",A1:CV300,57,FALSE)+3*HLOOKUP("fsXA/90",A1:CV300,57,FALSE)</f>
      </c>
      <c r="BX57" t="n" s="4444">
        <v>1.9050918817520142</v>
      </c>
      <c r="BY57" t="n" s="4445">
        <v>0.6906811594963074</v>
      </c>
      <c r="BZ57" s="4446">
        <f>4*HLOOKUP("uXG/90",A1:CV300,57,FALSE)+3*HLOOKUP("uXA/90",A1:CV300,57,FALSE)</f>
      </c>
    </row>
    <row r="58">
      <c r="A58" t="s" s="4447">
        <v>155</v>
      </c>
      <c r="B58" t="s" s="4448">
        <v>144</v>
      </c>
      <c r="C58" t="n" s="4449">
        <v>9.199999809265137</v>
      </c>
      <c r="D58" t="n" s="4450">
        <v>482.0</v>
      </c>
      <c r="E58" t="n" s="4451">
        <v>6.0</v>
      </c>
      <c r="F58" t="n" s="4452">
        <v>134.0</v>
      </c>
      <c r="G58" t="n" s="4453">
        <v>4.0</v>
      </c>
      <c r="H58" t="n" s="4454">
        <v>26.0</v>
      </c>
      <c r="I58" t="n" s="4455">
        <v>494.0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</c>
      <c r="K58" t="n" s="4457">
        <v>0.0</v>
      </c>
      <c r="L58" t="n" s="4458">
        <v>4.0</v>
      </c>
      <c r="M58" t="n" s="4459">
        <v>29.0</v>
      </c>
      <c r="N58" t="n" s="4460">
        <v>23.0</v>
      </c>
      <c r="O58" t="n" s="4461">
        <v>9.0</v>
      </c>
      <c r="P58" s="4462">
        <f>IF(HLOOKUP("Shots",A1:CV300,58,FALSE)=0,0,HLOOKUP("SIB",A1:CV300,58,FALSE)/HLOOKUP("Shots",A1:CV300,58,FALSE))</f>
      </c>
      <c r="Q58" t="n" s="4463">
        <v>2.0</v>
      </c>
      <c r="R58" s="4464">
        <f>IF(HLOOKUP("Shots",A1:CV300,58,FALSE)=0,0,HLOOKUP("S6YD",A1:CV300,58,FALSE)/HLOOKUP("Shots",A1:CV300,58,FALSE))</f>
      </c>
      <c r="S58" t="n" s="4465">
        <v>1.0</v>
      </c>
      <c r="T58" s="4466">
        <f>IF(HLOOKUP("Shots",A1:CV300,58,FALSE)=0,0,HLOOKUP("Headers",A1:CV300,58,FALSE)/HLOOKUP("Shots",A1:CV300,58,FALSE))</f>
      </c>
      <c r="U58" t="n" s="4467">
        <v>13.0</v>
      </c>
      <c r="V58" s="4468">
        <f>IF(HLOOKUP("Shots",A1:CV300,58,FALSE)=0,0,HLOOKUP("SOT",A1:CV300,58,FALSE)/HLOOKUP("Shots",A1:CV300,58,FALSE))</f>
      </c>
      <c r="W58" s="4469">
        <f>IF(HLOOKUP("Shots",A1:CV300,58,FALSE)=0,0,HLOOKUP("Gs",A1:CV300,58,FALSE)/HLOOKUP("Shots",A1:CV300,58,FALSE))</f>
      </c>
      <c r="X58" t="n" s="4470">
        <v>0.0</v>
      </c>
      <c r="Y58" t="n" s="4471">
        <v>5.0</v>
      </c>
      <c r="Z58" t="n" s="4472">
        <v>4.0</v>
      </c>
      <c r="AA58" s="4473">
        <f>IF(HLOOKUP("KP",A1:CV300,58,FALSE)=0,0,HLOOKUP("As",A1:CV300,58,FALSE)/HLOOKUP("KP",A1:CV300,58,FALSE))</f>
      </c>
      <c r="AB58" t="n" s="4474">
        <v>54.8</v>
      </c>
      <c r="AC58" t="n" s="4475">
        <v>40.0</v>
      </c>
      <c r="AD58" t="n" s="4476">
        <v>0.0</v>
      </c>
      <c r="AE58" t="n" s="4477">
        <v>5.0</v>
      </c>
      <c r="AF58" t="n" s="4478">
        <v>1.0</v>
      </c>
      <c r="AG58" s="4479">
        <f>IF(HLOOKUP("BC",A1:CV300,58,FALSE)=0,0,HLOOKUP("Gs - BC",A1:CV300,58,FALSE)/HLOOKUP("BC",A1:CV300,58,FALSE))</f>
      </c>
      <c r="AH58" s="4480">
        <f>HLOOKUP("BC",A1:CV300,58,FALSE) - HLOOKUP("BC Miss",A1:CV300,58,FALSE)</f>
      </c>
      <c r="AI58" s="4481">
        <f>IF(HLOOKUP("Gs",A1:CV300,58,FALSE)=0,0,HLOOKUP("Gs - BC",A1:CV300,58,FALSE)/HLOOKUP("Gs",A1:CV300,58,FALSE))</f>
      </c>
      <c r="AJ58" t="n" s="4482">
        <v>1.0</v>
      </c>
      <c r="AK58" t="n" s="4483">
        <v>0.0</v>
      </c>
      <c r="AL58" s="4484">
        <f>HLOOKUP("BC",A1:CV300,58,FALSE) - (HLOOKUP("PK Gs",A1:CV300,58,FALSE) + HLOOKUP("PK Miss",A1:CV300,58,FALSE))</f>
      </c>
      <c r="AM58" s="4485">
        <f>HLOOKUP("BC Miss",A1:CV300,58,FALSE) - HLOOKUP("PK Miss",A1:CV300,58,FALSE)</f>
      </c>
      <c r="AN58" s="4486">
        <f>IF(HLOOKUP("BC - Open",A1:CV300,58,FALSE)=0,0,HLOOKUP("BC - Open Miss",A1:CV300,58,FALSE)/HLOOKUP("BC - Open",A1:CV300,58,FALSE))</f>
      </c>
      <c r="AO58" t="n" s="4487">
        <v>4.0</v>
      </c>
      <c r="AP58" s="4488">
        <f>IF(HLOOKUP("Gs",A1:CV300,58,FALSE)=0,0,HLOOKUP("GIB",A1:CV300,58,FALSE)/HLOOKUP("Gs",A1:CV300,58,FALSE))</f>
      </c>
      <c r="AQ58" t="n" s="4489">
        <v>2.0</v>
      </c>
      <c r="AR58" s="4490">
        <f>IF(HLOOKUP("Gs",A1:CV300,58,FALSE)=0,0,HLOOKUP("Gs - Open",A1:CV300,58,FALSE)/HLOOKUP("Gs",A1:CV300,58,FALSE))</f>
      </c>
      <c r="AS58" t="n" s="4491">
        <v>4.25</v>
      </c>
      <c r="AT58" t="n" s="4492">
        <v>0.3</v>
      </c>
      <c r="AU58" s="4493">
        <f>IF(HLOOKUP("Mins",A1:CV300,58,FALSE)=0,0,HLOOKUP("Pts",A1:CV300,58,FALSE)/HLOOKUP("Mins",A1:CV300,58,FALSE)* 90)</f>
      </c>
      <c r="AV58" s="4494">
        <f>IF(HLOOKUP("Apps",A1:CV300,58,FALSE)=0,0,HLOOKUP("Pts",A1:CV300,58,FALSE)/HLOOKUP("Apps",A1:CV300,58,FALSE)* 1)</f>
      </c>
      <c r="AW58" s="4495">
        <f>IF(HLOOKUP("Mins",A1:CV300,58,FALSE)=0,0,HLOOKUP("Gs",A1:CV300,58,FALSE)/HLOOKUP("Mins",A1:CV300,58,FALSE)* 90)</f>
      </c>
      <c r="AX58" s="4496">
        <f>IF(HLOOKUP("Mins",A1:CV300,58,FALSE)=0,0,HLOOKUP("Bonus",A1:CV300,58,FALSE)/HLOOKUP("Mins",A1:CV300,58,FALSE)* 90)</f>
      </c>
      <c r="AY58" s="4497">
        <f>IF(HLOOKUP("Mins",A1:CV300,58,FALSE)=0,0,HLOOKUP("BPS",A1:CV300,58,FALSE)/HLOOKUP("Mins",A1:CV300,58,FALSE)* 90)</f>
      </c>
      <c r="AZ58" s="4498">
        <f>IF(HLOOKUP("Mins",A1:CV300,58,FALSE)=0,0,HLOOKUP("Base BPS",A1:CV300,58,FALSE)/HLOOKUP("Mins",A1:CV300,58,FALSE)* 90)</f>
      </c>
      <c r="BA58" s="4499">
        <f>IF(HLOOKUP("Mins",A1:CV300,58,FALSE)=0,0,HLOOKUP("PenTchs",A1:CV300,58,FALSE)/HLOOKUP("Mins",A1:CV300,58,FALSE)* 90)</f>
      </c>
      <c r="BB58" s="4500">
        <f>IF(HLOOKUP("Mins",A1:CV300,58,FALSE)=0,0,HLOOKUP("Shots",A1:CV300,58,FALSE)/HLOOKUP("Mins",A1:CV300,58,FALSE)* 90)</f>
      </c>
      <c r="BC58" s="4501">
        <f>IF(HLOOKUP("Mins",A1:CV300,58,FALSE)=0,0,HLOOKUP("SIB",A1:CV300,58,FALSE)/HLOOKUP("Mins",A1:CV300,58,FALSE)* 90)</f>
      </c>
      <c r="BD58" s="4502">
        <f>IF(HLOOKUP("Mins",A1:CV300,58,FALSE)=0,0,HLOOKUP("S6YD",A1:CV300,58,FALSE)/HLOOKUP("Mins",A1:CV300,58,FALSE)* 90)</f>
      </c>
      <c r="BE58" s="4503">
        <f>IF(HLOOKUP("Mins",A1:CV300,58,FALSE)=0,0,HLOOKUP("Headers",A1:CV300,58,FALSE)/HLOOKUP("Mins",A1:CV300,58,FALSE)* 90)</f>
      </c>
      <c r="BF58" s="4504">
        <f>IF(HLOOKUP("Mins",A1:CV300,58,FALSE)=0,0,HLOOKUP("SOT",A1:CV300,58,FALSE)/HLOOKUP("Mins",A1:CV300,58,FALSE)* 90)</f>
      </c>
      <c r="BG58" s="4505">
        <f>IF(HLOOKUP("Mins",A1:CV300,58,FALSE)=0,0,HLOOKUP("As",A1:CV300,58,FALSE)/HLOOKUP("Mins",A1:CV300,58,FALSE)* 90)</f>
      </c>
      <c r="BH58" s="4506">
        <f>IF(HLOOKUP("Mins",A1:CV300,58,FALSE)=0,0,HLOOKUP("FPL As",A1:CV300,58,FALSE)/HLOOKUP("Mins",A1:CV300,58,FALSE)* 90)</f>
      </c>
      <c r="BI58" s="4507">
        <f>IF(HLOOKUP("Mins",A1:CV300,58,FALSE)=0,0,HLOOKUP("BC Created",A1:CV300,58,FALSE)/HLOOKUP("Mins",A1:CV300,58,FALSE)* 90)</f>
      </c>
      <c r="BJ58" s="4508">
        <f>IF(HLOOKUP("Mins",A1:CV300,58,FALSE)=0,0,HLOOKUP("KP",A1:CV300,58,FALSE)/HLOOKUP("Mins",A1:CV300,58,FALSE)* 90)</f>
      </c>
      <c r="BK58" s="4509">
        <f>IF(HLOOKUP("Mins",A1:CV300,58,FALSE)=0,0,HLOOKUP("BC",A1:CV300,58,FALSE)/HLOOKUP("Mins",A1:CV300,58,FALSE)* 90)</f>
      </c>
      <c r="BL58" s="4510">
        <f>IF(HLOOKUP("Mins",A1:CV300,58,FALSE)=0,0,HLOOKUP("BC Miss",A1:CV300,58,FALSE)/HLOOKUP("Mins",A1:CV300,58,FALSE)* 90)</f>
      </c>
      <c r="BM58" s="4511">
        <f>IF(HLOOKUP("Mins",A1:CV300,58,FALSE)=0,0,HLOOKUP("Gs - BC",A1:CV300,58,FALSE)/HLOOKUP("Mins",A1:CV300,58,FALSE)* 90)</f>
      </c>
      <c r="BN58" s="4512">
        <f>IF(HLOOKUP("Mins",A1:CV300,58,FALSE)=0,0,HLOOKUP("GIB",A1:CV300,58,FALSE)/HLOOKUP("Mins",A1:CV300,58,FALSE)* 90)</f>
      </c>
      <c r="BO58" s="4513">
        <f>IF(HLOOKUP("Mins",A1:CV300,58,FALSE)=0,0,HLOOKUP("Gs - Open",A1:CV300,58,FALSE)/HLOOKUP("Mins",A1:CV300,58,FALSE)* 90)</f>
      </c>
      <c r="BP58" s="4514">
        <f>IF(HLOOKUP("Mins",A1:CV300,58,FALSE)=0,0,HLOOKUP("ICT Index",A1:CV300,58,FALSE)/HLOOKUP("Mins",A1:CV300,58,FALSE)* 90)</f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</c>
      <c r="BR58" s="4516">
        <f>0.103*HLOOKUP("KP/90",A1:CV300,58,FALSE)</f>
      </c>
      <c r="BS58" s="4517">
        <f>4*HLOOKUP("xG/90",A1:CV300,58,FALSE)+3*HLOOKUP("xA/90",A1:CV300,58,FALSE)</f>
      </c>
      <c r="BT58" s="4518">
        <f>HLOOKUP("xPts/90",A1:CV300,58,FALSE)-(4*0.75*(HLOOKUP("PK Gs",A1:CV300,58,FALSE)+HLOOKUP("PK Miss",A1:CV300,58,FALSE))*90/HLOOKUP("Mins",A1:CV300,58,FALSE))</f>
      </c>
      <c r="BU58" s="4519">
        <f>IF(HLOOKUP("Mins",A1:CV300,58,FALSE)=0,0,HLOOKUP("fsXG",A1:CV300,58,FALSE)/HLOOKUP("Mins",A1:CV300,58,FALSE)* 90)</f>
      </c>
      <c r="BV58" s="4520">
        <f>IF(HLOOKUP("Mins",A1:CV300,58,FALSE)=0,0,HLOOKUP("fsXA",A1:CV300,58,FALSE)/HLOOKUP("Mins",A1:CV300,58,FALSE)* 90)</f>
      </c>
      <c r="BW58" s="4521">
        <f>4*HLOOKUP("fsXG/90",A1:CV300,58,FALSE)+3*HLOOKUP("fsXA/90",A1:CV300,58,FALSE)</f>
      </c>
      <c r="BX58" t="n" s="4522">
        <v>0.6916142106056213</v>
      </c>
      <c r="BY58" t="n" s="4523">
        <v>0.020591961219906807</v>
      </c>
      <c r="BZ58" s="4524">
        <f>4*HLOOKUP("uXG/90",A1:CV300,58,FALSE)+3*HLOOKUP("uXA/90",A1:CV300,58,FALSE)</f>
      </c>
    </row>
    <row r="59">
      <c r="A59" t="s" s="4525">
        <v>156</v>
      </c>
      <c r="B59" t="s" s="4526">
        <v>85</v>
      </c>
      <c r="C59" t="n" s="4527">
        <v>5.599999904632568</v>
      </c>
      <c r="D59" t="n" s="4528">
        <v>37.0</v>
      </c>
      <c r="E59" t="n" s="4529">
        <v>3.0</v>
      </c>
      <c r="F59" t="n" s="4530">
        <v>16.0</v>
      </c>
      <c r="G59" t="n" s="4531">
        <v>0.0</v>
      </c>
      <c r="H59" t="n" s="4532">
        <v>3.0</v>
      </c>
      <c r="I59" t="n" s="4533">
        <v>49.0</v>
      </c>
      <c r="J59" s="4534">
        <f>HLOOKUP("BPS",A1:CV300,59,FALSE)-((-6*HLOOKUP("OG",A1:CV300,59,FALSE))+(-6*HLOOKUP("PK Miss",A1:CV300,59,FALSE))+(9*HLOOKUP("FPL As",A1:CV300,59,FALSE))+(0*HLOOKUP("CS",A1:CV300,59,FALSE))+(24*HLOOKUP("Gs",A1:CV300,59,FALSE)))</f>
      </c>
      <c r="K59" t="n" s="4535">
        <v>0.0</v>
      </c>
      <c r="L59" t="n" s="4536">
        <v>0.0</v>
      </c>
      <c r="M59" t="n" s="4537">
        <v>3.0</v>
      </c>
      <c r="N59" t="n" s="4538">
        <v>1.0</v>
      </c>
      <c r="O59" t="n" s="4539">
        <v>1.0</v>
      </c>
      <c r="P59" s="4540">
        <f>IF(HLOOKUP("Shots",A1:CV300,59,FALSE)=0,0,HLOOKUP("SIB",A1:CV300,59,FALSE)/HLOOKUP("Shots",A1:CV300,59,FALSE))</f>
      </c>
      <c r="Q59" t="n" s="4541">
        <v>0.0</v>
      </c>
      <c r="R59" s="4542">
        <f>IF(HLOOKUP("Shots",A1:CV300,59,FALSE)=0,0,HLOOKUP("S6YD",A1:CV300,59,FALSE)/HLOOKUP("Shots",A1:CV300,59,FALSE))</f>
      </c>
      <c r="S59" t="n" s="4543">
        <v>1.0</v>
      </c>
      <c r="T59" s="4544">
        <f>IF(HLOOKUP("Shots",A1:CV300,59,FALSE)=0,0,HLOOKUP("Headers",A1:CV300,59,FALSE)/HLOOKUP("Shots",A1:CV300,59,FALSE))</f>
      </c>
      <c r="U59" t="n" s="4545">
        <v>0.0</v>
      </c>
      <c r="V59" s="4546">
        <f>IF(HLOOKUP("Shots",A1:CV300,59,FALSE)=0,0,HLOOKUP("SOT",A1:CV300,59,FALSE)/HLOOKUP("Shots",A1:CV300,59,FALSE))</f>
      </c>
      <c r="W59" s="4547">
        <f>IF(HLOOKUP("Shots",A1:CV300,59,FALSE)=0,0,HLOOKUP("Gs",A1:CV300,59,FALSE)/HLOOKUP("Shots",A1:CV300,59,FALSE))</f>
      </c>
      <c r="X59" t="n" s="4548">
        <v>0.0</v>
      </c>
      <c r="Y59" t="n" s="4549">
        <v>0.0</v>
      </c>
      <c r="Z59" t="n" s="4550">
        <v>0.0</v>
      </c>
      <c r="AA59" s="4551">
        <f>IF(HLOOKUP("KP",A1:CV300,59,FALSE)=0,0,HLOOKUP("As",A1:CV300,59,FALSE)/HLOOKUP("KP",A1:CV300,59,FALSE))</f>
      </c>
      <c r="AB59" t="n" s="4552">
        <v>1.1</v>
      </c>
      <c r="AC59" t="n" s="4553">
        <v>0.0</v>
      </c>
      <c r="AD59" t="n" s="4554">
        <v>0.0</v>
      </c>
      <c r="AE59" t="n" s="4555">
        <v>1.0</v>
      </c>
      <c r="AF59" t="n" s="4556">
        <v>1.0</v>
      </c>
      <c r="AG59" s="4557">
        <f>IF(HLOOKUP("BC",A1:CV300,59,FALSE)=0,0,HLOOKUP("Gs - BC",A1:CV300,59,FALSE)/HLOOKUP("BC",A1:CV300,59,FALSE))</f>
      </c>
      <c r="AH59" s="4558">
        <f>HLOOKUP("BC",A1:CV300,59,FALSE) - HLOOKUP("BC Miss",A1:CV300,59,FALSE)</f>
      </c>
      <c r="AI59" s="4559">
        <f>IF(HLOOKUP("Gs",A1:CV300,59,FALSE)=0,0,HLOOKUP("Gs - BC",A1:CV300,59,FALSE)/HLOOKUP("Gs",A1:CV300,59,FALSE))</f>
      </c>
      <c r="AJ59" t="n" s="4560">
        <v>0.0</v>
      </c>
      <c r="AK59" t="n" s="4561">
        <v>0.0</v>
      </c>
      <c r="AL59" s="4562">
        <f>HLOOKUP("BC",A1:CV300,59,FALSE) - (HLOOKUP("PK Gs",A1:CV300,59,FALSE) + HLOOKUP("PK Miss",A1:CV300,59,FALSE))</f>
      </c>
      <c r="AM59" s="4563">
        <f>HLOOKUP("BC Miss",A1:CV300,59,FALSE) - HLOOKUP("PK Miss",A1:CV300,59,FALSE)</f>
      </c>
      <c r="AN59" s="4564">
        <f>IF(HLOOKUP("BC - Open",A1:CV300,59,FALSE)=0,0,HLOOKUP("BC - Open Miss",A1:CV300,59,FALSE)/HLOOKUP("BC - Open",A1:CV300,59,FALSE))</f>
      </c>
      <c r="AO59" t="n" s="4565">
        <v>0.0</v>
      </c>
      <c r="AP59" s="4566">
        <f>IF(HLOOKUP("Gs",A1:CV300,59,FALSE)=0,0,HLOOKUP("GIB",A1:CV300,59,FALSE)/HLOOKUP("Gs",A1:CV300,59,FALSE))</f>
      </c>
      <c r="AQ59" t="n" s="4567">
        <v>0.0</v>
      </c>
      <c r="AR59" s="4568">
        <f>IF(HLOOKUP("Gs",A1:CV300,59,FALSE)=0,0,HLOOKUP("Gs - Open",A1:CV300,59,FALSE)/HLOOKUP("Gs",A1:CV300,59,FALSE))</f>
      </c>
      <c r="AS59" t="n" s="4569">
        <v>0.34</v>
      </c>
      <c r="AT59" t="n" s="4570">
        <v>0.01</v>
      </c>
      <c r="AU59" s="4571">
        <f>IF(HLOOKUP("Mins",A1:CV300,59,FALSE)=0,0,HLOOKUP("Pts",A1:CV300,59,FALSE)/HLOOKUP("Mins",A1:CV300,59,FALSE)* 90)</f>
      </c>
      <c r="AV59" s="4572">
        <f>IF(HLOOKUP("Apps",A1:CV300,59,FALSE)=0,0,HLOOKUP("Pts",A1:CV300,59,FALSE)/HLOOKUP("Apps",A1:CV300,59,FALSE)* 1)</f>
      </c>
      <c r="AW59" s="4573">
        <f>IF(HLOOKUP("Mins",A1:CV300,59,FALSE)=0,0,HLOOKUP("Gs",A1:CV300,59,FALSE)/HLOOKUP("Mins",A1:CV300,59,FALSE)* 90)</f>
      </c>
      <c r="AX59" s="4574">
        <f>IF(HLOOKUP("Mins",A1:CV300,59,FALSE)=0,0,HLOOKUP("Bonus",A1:CV300,59,FALSE)/HLOOKUP("Mins",A1:CV300,59,FALSE)* 90)</f>
      </c>
      <c r="AY59" s="4575">
        <f>IF(HLOOKUP("Mins",A1:CV300,59,FALSE)=0,0,HLOOKUP("BPS",A1:CV300,59,FALSE)/HLOOKUP("Mins",A1:CV300,59,FALSE)* 90)</f>
      </c>
      <c r="AZ59" s="4576">
        <f>IF(HLOOKUP("Mins",A1:CV300,59,FALSE)=0,0,HLOOKUP("Base BPS",A1:CV300,59,FALSE)/HLOOKUP("Mins",A1:CV300,59,FALSE)* 90)</f>
      </c>
      <c r="BA59" s="4577">
        <f>IF(HLOOKUP("Mins",A1:CV300,59,FALSE)=0,0,HLOOKUP("PenTchs",A1:CV300,59,FALSE)/HLOOKUP("Mins",A1:CV300,59,FALSE)* 90)</f>
      </c>
      <c r="BB59" s="4578">
        <f>IF(HLOOKUP("Mins",A1:CV300,59,FALSE)=0,0,HLOOKUP("Shots",A1:CV300,59,FALSE)/HLOOKUP("Mins",A1:CV300,59,FALSE)* 90)</f>
      </c>
      <c r="BC59" s="4579">
        <f>IF(HLOOKUP("Mins",A1:CV300,59,FALSE)=0,0,HLOOKUP("SIB",A1:CV300,59,FALSE)/HLOOKUP("Mins",A1:CV300,59,FALSE)* 90)</f>
      </c>
      <c r="BD59" s="4580">
        <f>IF(HLOOKUP("Mins",A1:CV300,59,FALSE)=0,0,HLOOKUP("S6YD",A1:CV300,59,FALSE)/HLOOKUP("Mins",A1:CV300,59,FALSE)* 90)</f>
      </c>
      <c r="BE59" s="4581">
        <f>IF(HLOOKUP("Mins",A1:CV300,59,FALSE)=0,0,HLOOKUP("Headers",A1:CV300,59,FALSE)/HLOOKUP("Mins",A1:CV300,59,FALSE)* 90)</f>
      </c>
      <c r="BF59" s="4582">
        <f>IF(HLOOKUP("Mins",A1:CV300,59,FALSE)=0,0,HLOOKUP("SOT",A1:CV300,59,FALSE)/HLOOKUP("Mins",A1:CV300,59,FALSE)* 90)</f>
      </c>
      <c r="BG59" s="4583">
        <f>IF(HLOOKUP("Mins",A1:CV300,59,FALSE)=0,0,HLOOKUP("As",A1:CV300,59,FALSE)/HLOOKUP("Mins",A1:CV300,59,FALSE)* 90)</f>
      </c>
      <c r="BH59" s="4584">
        <f>IF(HLOOKUP("Mins",A1:CV300,59,FALSE)=0,0,HLOOKUP("FPL As",A1:CV300,59,FALSE)/HLOOKUP("Mins",A1:CV300,59,FALSE)* 90)</f>
      </c>
      <c r="BI59" s="4585">
        <f>IF(HLOOKUP("Mins",A1:CV300,59,FALSE)=0,0,HLOOKUP("BC Created",A1:CV300,59,FALSE)/HLOOKUP("Mins",A1:CV300,59,FALSE)* 90)</f>
      </c>
      <c r="BJ59" s="4586">
        <f>IF(HLOOKUP("Mins",A1:CV300,59,FALSE)=0,0,HLOOKUP("KP",A1:CV300,59,FALSE)/HLOOKUP("Mins",A1:CV300,59,FALSE)* 90)</f>
      </c>
      <c r="BK59" s="4587">
        <f>IF(HLOOKUP("Mins",A1:CV300,59,FALSE)=0,0,HLOOKUP("BC",A1:CV300,59,FALSE)/HLOOKUP("Mins",A1:CV300,59,FALSE)* 90)</f>
      </c>
      <c r="BL59" s="4588">
        <f>IF(HLOOKUP("Mins",A1:CV300,59,FALSE)=0,0,HLOOKUP("BC Miss",A1:CV300,59,FALSE)/HLOOKUP("Mins",A1:CV300,59,FALSE)* 90)</f>
      </c>
      <c r="BM59" s="4589">
        <f>IF(HLOOKUP("Mins",A1:CV300,59,FALSE)=0,0,HLOOKUP("Gs - BC",A1:CV300,59,FALSE)/HLOOKUP("Mins",A1:CV300,59,FALSE)* 90)</f>
      </c>
      <c r="BN59" s="4590">
        <f>IF(HLOOKUP("Mins",A1:CV300,59,FALSE)=0,0,HLOOKUP("GIB",A1:CV300,59,FALSE)/HLOOKUP("Mins",A1:CV300,59,FALSE)* 90)</f>
      </c>
      <c r="BO59" s="4591">
        <f>IF(HLOOKUP("Mins",A1:CV300,59,FALSE)=0,0,HLOOKUP("Gs - Open",A1:CV300,59,FALSE)/HLOOKUP("Mins",A1:CV300,59,FALSE)* 90)</f>
      </c>
      <c r="BP59" s="4592">
        <f>IF(HLOOKUP("Mins",A1:CV300,59,FALSE)=0,0,HLOOKUP("ICT Index",A1:CV300,59,FALSE)/HLOOKUP("Mins",A1:CV300,59,FALSE)* 90)</f>
      </c>
      <c r="BQ59" s="4593">
        <f>IF(HLOOKUP("Mins",A1:CV300,59,FALSE)=0,0,(0.043*(HLOOKUP("Shots",A1:CV300,59,FALSE)-HLOOKUP("SIB",A1:CV300,59,FALSE))+0.162*(HLOOKUP("SIB",A1:CV300,59,FALSE)-(HLOOKUP("PK Gs",A1:CV300,59,FALSE)+HLOOKUP("PK Miss",A1:CV300,59,FALSE)))+0.75*(HLOOKUP("PK Gs",A1:CV300,59,FALSE)+HLOOKUP("PK Miss",A1:CV300,59,FALSE)))/HLOOKUP("Mins",A1:CV300,59,FALSE)*90)</f>
      </c>
      <c r="BR59" s="4594">
        <f>0.103*HLOOKUP("KP/90",A1:CV300,59,FALSE)</f>
      </c>
      <c r="BS59" s="4595">
        <f>4*HLOOKUP("xG/90",A1:CV300,59,FALSE)+3*HLOOKUP("xA/90",A1:CV300,59,FALSE)</f>
      </c>
      <c r="BT59" s="4596">
        <f>HLOOKUP("xPts/90",A1:CV300,59,FALSE)-(4*0.75*(HLOOKUP("PK Gs",A1:CV300,59,FALSE)+HLOOKUP("PK Miss",A1:CV300,59,FALSE))*90/HLOOKUP("Mins",A1:CV300,59,FALSE))</f>
      </c>
      <c r="BU59" s="4597">
        <f>IF(HLOOKUP("Mins",A1:CV300,59,FALSE)=0,0,HLOOKUP("fsXG",A1:CV300,59,FALSE)/HLOOKUP("Mins",A1:CV300,59,FALSE)* 90)</f>
      </c>
      <c r="BV59" s="4598">
        <f>IF(HLOOKUP("Mins",A1:CV300,59,FALSE)=0,0,HLOOKUP("fsXA",A1:CV300,59,FALSE)/HLOOKUP("Mins",A1:CV300,59,FALSE)* 90)</f>
      </c>
      <c r="BW59" s="4599">
        <f>4*HLOOKUP("fsXG/90",A1:CV300,59,FALSE)+3*HLOOKUP("fsXA/90",A1:CV300,59,FALSE)</f>
      </c>
      <c r="BX59" t="n" s="4600">
        <v>0.8019577860832214</v>
      </c>
      <c r="BY59" t="n" s="4601">
        <v>0.0</v>
      </c>
      <c r="BZ59" s="4602">
        <f>4*HLOOKUP("uXG/90",A1:CV300,59,FALSE)+3*HLOOKUP("uXA/90",A1:CV300,59,FALSE)</f>
      </c>
    </row>
    <row r="60">
      <c r="A60" t="s" s="4603">
        <v>157</v>
      </c>
      <c r="B60" t="s" s="4604">
        <v>117</v>
      </c>
      <c r="C60" t="n" s="4605">
        <v>5.599999904632568</v>
      </c>
      <c r="D60" t="n" s="4606">
        <v>26.0</v>
      </c>
      <c r="E60" t="n" s="4607">
        <v>3.0</v>
      </c>
      <c r="F60" t="n" s="4608">
        <v>34.0</v>
      </c>
      <c r="G60" t="n" s="4609">
        <v>0.0</v>
      </c>
      <c r="H60" t="n" s="4610">
        <v>2.0</v>
      </c>
      <c r="I60" t="n" s="4611">
        <v>106.0</v>
      </c>
      <c r="J60" s="4612">
        <f>HLOOKUP("BPS",A1:CV300,60,FALSE)-((-6*HLOOKUP("OG",A1:CV300,60,FALSE))+(-6*HLOOKUP("PK Miss",A1:CV300,60,FALSE))+(9*HLOOKUP("FPL As",A1:CV300,60,FALSE))+(0*HLOOKUP("CS",A1:CV300,60,FALSE))+(24*HLOOKUP("Gs",A1:CV300,60,FALSE)))</f>
      </c>
      <c r="K60" t="n" s="4613">
        <v>0.0</v>
      </c>
      <c r="L60" t="n" s="4614">
        <v>0.0</v>
      </c>
      <c r="M60" t="n" s="4615">
        <v>5.0</v>
      </c>
      <c r="N60" t="n" s="4616">
        <v>1.0</v>
      </c>
      <c r="O60" t="n" s="4617">
        <v>1.0</v>
      </c>
      <c r="P60" s="4618">
        <f>IF(HLOOKUP("Shots",A1:CV300,60,FALSE)=0,0,HLOOKUP("SIB",A1:CV300,60,FALSE)/HLOOKUP("Shots",A1:CV300,60,FALSE))</f>
      </c>
      <c r="Q60" t="n" s="4619">
        <v>0.0</v>
      </c>
      <c r="R60" s="4620">
        <f>IF(HLOOKUP("Shots",A1:CV300,60,FALSE)=0,0,HLOOKUP("S6YD",A1:CV300,60,FALSE)/HLOOKUP("Shots",A1:CV300,60,FALSE))</f>
      </c>
      <c r="S60" t="n" s="4621">
        <v>0.0</v>
      </c>
      <c r="T60" s="4622">
        <f>IF(HLOOKUP("Shots",A1:CV300,60,FALSE)=0,0,HLOOKUP("Headers",A1:CV300,60,FALSE)/HLOOKUP("Shots",A1:CV300,60,FALSE))</f>
      </c>
      <c r="U60" t="n" s="4623">
        <v>0.0</v>
      </c>
      <c r="V60" s="4624">
        <f>IF(HLOOKUP("Shots",A1:CV300,60,FALSE)=0,0,HLOOKUP("SOT",A1:CV300,60,FALSE)/HLOOKUP("Shots",A1:CV300,60,FALSE))</f>
      </c>
      <c r="W60" s="4625">
        <f>IF(HLOOKUP("Shots",A1:CV300,60,FALSE)=0,0,HLOOKUP("Gs",A1:CV300,60,FALSE)/HLOOKUP("Shots",A1:CV300,60,FALSE))</f>
      </c>
      <c r="X60" t="n" s="4626">
        <v>0.0</v>
      </c>
      <c r="Y60" t="n" s="4627">
        <v>1.0</v>
      </c>
      <c r="Z60" t="n" s="4628">
        <v>0.0</v>
      </c>
      <c r="AA60" s="4629">
        <f>IF(HLOOKUP("KP",A1:CV300,60,FALSE)=0,0,HLOOKUP("As",A1:CV300,60,FALSE)/HLOOKUP("KP",A1:CV300,60,FALSE))</f>
      </c>
      <c r="AB60" t="n" s="4630">
        <v>3.0</v>
      </c>
      <c r="AC60" t="n" s="4631">
        <v>100.0</v>
      </c>
      <c r="AD60" t="n" s="4632">
        <v>0.0</v>
      </c>
      <c r="AE60" t="n" s="4633">
        <v>0.0</v>
      </c>
      <c r="AF60" t="n" s="4634">
        <v>0.0</v>
      </c>
      <c r="AG60" s="4635">
        <f>IF(HLOOKUP("BC",A1:CV300,60,FALSE)=0,0,HLOOKUP("Gs - BC",A1:CV300,60,FALSE)/HLOOKUP("BC",A1:CV300,60,FALSE))</f>
      </c>
      <c r="AH60" s="4636">
        <f>HLOOKUP("BC",A1:CV300,60,FALSE) - HLOOKUP("BC Miss",A1:CV300,60,FALSE)</f>
      </c>
      <c r="AI60" s="4637">
        <f>IF(HLOOKUP("Gs",A1:CV300,60,FALSE)=0,0,HLOOKUP("Gs - BC",A1:CV300,60,FALSE)/HLOOKUP("Gs",A1:CV300,60,FALSE))</f>
      </c>
      <c r="AJ60" t="n" s="4638">
        <v>0.0</v>
      </c>
      <c r="AK60" t="n" s="4639">
        <v>0.0</v>
      </c>
      <c r="AL60" s="4640">
        <f>HLOOKUP("BC",A1:CV300,60,FALSE) - (HLOOKUP("PK Gs",A1:CV300,60,FALSE) + HLOOKUP("PK Miss",A1:CV300,60,FALSE))</f>
      </c>
      <c r="AM60" s="4641">
        <f>HLOOKUP("BC Miss",A1:CV300,60,FALSE) - HLOOKUP("PK Miss",A1:CV300,60,FALSE)</f>
      </c>
      <c r="AN60" s="4642">
        <f>IF(HLOOKUP("BC - Open",A1:CV300,60,FALSE)=0,0,HLOOKUP("BC - Open Miss",A1:CV300,60,FALSE)/HLOOKUP("BC - Open",A1:CV300,60,FALSE))</f>
      </c>
      <c r="AO60" t="n" s="4643">
        <v>0.0</v>
      </c>
      <c r="AP60" s="4644">
        <f>IF(HLOOKUP("Gs",A1:CV300,60,FALSE)=0,0,HLOOKUP("GIB",A1:CV300,60,FALSE)/HLOOKUP("Gs",A1:CV300,60,FALSE))</f>
      </c>
      <c r="AQ60" t="n" s="4645">
        <v>0.0</v>
      </c>
      <c r="AR60" s="4646">
        <f>IF(HLOOKUP("Gs",A1:CV300,60,FALSE)=0,0,HLOOKUP("Gs - Open",A1:CV300,60,FALSE)/HLOOKUP("Gs",A1:CV300,60,FALSE))</f>
      </c>
      <c r="AS60" t="n" s="4647">
        <v>0.09</v>
      </c>
      <c r="AT60" t="n" s="4648">
        <v>0.0</v>
      </c>
      <c r="AU60" s="4649">
        <f>IF(HLOOKUP("Mins",A1:CV300,60,FALSE)=0,0,HLOOKUP("Pts",A1:CV300,60,FALSE)/HLOOKUP("Mins",A1:CV300,60,FALSE)* 90)</f>
      </c>
      <c r="AV60" s="4650">
        <f>IF(HLOOKUP("Apps",A1:CV300,60,FALSE)=0,0,HLOOKUP("Pts",A1:CV300,60,FALSE)/HLOOKUP("Apps",A1:CV300,60,FALSE)* 1)</f>
      </c>
      <c r="AW60" s="4651">
        <f>IF(HLOOKUP("Mins",A1:CV300,60,FALSE)=0,0,HLOOKUP("Gs",A1:CV300,60,FALSE)/HLOOKUP("Mins",A1:CV300,60,FALSE)* 90)</f>
      </c>
      <c r="AX60" s="4652">
        <f>IF(HLOOKUP("Mins",A1:CV300,60,FALSE)=0,0,HLOOKUP("Bonus",A1:CV300,60,FALSE)/HLOOKUP("Mins",A1:CV300,60,FALSE)* 90)</f>
      </c>
      <c r="AY60" s="4653">
        <f>IF(HLOOKUP("Mins",A1:CV300,60,FALSE)=0,0,HLOOKUP("BPS",A1:CV300,60,FALSE)/HLOOKUP("Mins",A1:CV300,60,FALSE)* 90)</f>
      </c>
      <c r="AZ60" s="4654">
        <f>IF(HLOOKUP("Mins",A1:CV300,60,FALSE)=0,0,HLOOKUP("Base BPS",A1:CV300,60,FALSE)/HLOOKUP("Mins",A1:CV300,60,FALSE)* 90)</f>
      </c>
      <c r="BA60" s="4655">
        <f>IF(HLOOKUP("Mins",A1:CV300,60,FALSE)=0,0,HLOOKUP("PenTchs",A1:CV300,60,FALSE)/HLOOKUP("Mins",A1:CV300,60,FALSE)* 90)</f>
      </c>
      <c r="BB60" s="4656">
        <f>IF(HLOOKUP("Mins",A1:CV300,60,FALSE)=0,0,HLOOKUP("Shots",A1:CV300,60,FALSE)/HLOOKUP("Mins",A1:CV300,60,FALSE)* 90)</f>
      </c>
      <c r="BC60" s="4657">
        <f>IF(HLOOKUP("Mins",A1:CV300,60,FALSE)=0,0,HLOOKUP("SIB",A1:CV300,60,FALSE)/HLOOKUP("Mins",A1:CV300,60,FALSE)* 90)</f>
      </c>
      <c r="BD60" s="4658">
        <f>IF(HLOOKUP("Mins",A1:CV300,60,FALSE)=0,0,HLOOKUP("S6YD",A1:CV300,60,FALSE)/HLOOKUP("Mins",A1:CV300,60,FALSE)* 90)</f>
      </c>
      <c r="BE60" s="4659">
        <f>IF(HLOOKUP("Mins",A1:CV300,60,FALSE)=0,0,HLOOKUP("Headers",A1:CV300,60,FALSE)/HLOOKUP("Mins",A1:CV300,60,FALSE)* 90)</f>
      </c>
      <c r="BF60" s="4660">
        <f>IF(HLOOKUP("Mins",A1:CV300,60,FALSE)=0,0,HLOOKUP("SOT",A1:CV300,60,FALSE)/HLOOKUP("Mins",A1:CV300,60,FALSE)* 90)</f>
      </c>
      <c r="BG60" s="4661">
        <f>IF(HLOOKUP("Mins",A1:CV300,60,FALSE)=0,0,HLOOKUP("As",A1:CV300,60,FALSE)/HLOOKUP("Mins",A1:CV300,60,FALSE)* 90)</f>
      </c>
      <c r="BH60" s="4662">
        <f>IF(HLOOKUP("Mins",A1:CV300,60,FALSE)=0,0,HLOOKUP("FPL As",A1:CV300,60,FALSE)/HLOOKUP("Mins",A1:CV300,60,FALSE)* 90)</f>
      </c>
      <c r="BI60" s="4663">
        <f>IF(HLOOKUP("Mins",A1:CV300,60,FALSE)=0,0,HLOOKUP("BC Created",A1:CV300,60,FALSE)/HLOOKUP("Mins",A1:CV300,60,FALSE)* 90)</f>
      </c>
      <c r="BJ60" s="4664">
        <f>IF(HLOOKUP("Mins",A1:CV300,60,FALSE)=0,0,HLOOKUP("KP",A1:CV300,60,FALSE)/HLOOKUP("Mins",A1:CV300,60,FALSE)* 90)</f>
      </c>
      <c r="BK60" s="4665">
        <f>IF(HLOOKUP("Mins",A1:CV300,60,FALSE)=0,0,HLOOKUP("BC",A1:CV300,60,FALSE)/HLOOKUP("Mins",A1:CV300,60,FALSE)* 90)</f>
      </c>
      <c r="BL60" s="4666">
        <f>IF(HLOOKUP("Mins",A1:CV300,60,FALSE)=0,0,HLOOKUP("BC Miss",A1:CV300,60,FALSE)/HLOOKUP("Mins",A1:CV300,60,FALSE)* 90)</f>
      </c>
      <c r="BM60" s="4667">
        <f>IF(HLOOKUP("Mins",A1:CV300,60,FALSE)=0,0,HLOOKUP("Gs - BC",A1:CV300,60,FALSE)/HLOOKUP("Mins",A1:CV300,60,FALSE)* 90)</f>
      </c>
      <c r="BN60" s="4668">
        <f>IF(HLOOKUP("Mins",A1:CV300,60,FALSE)=0,0,HLOOKUP("GIB",A1:CV300,60,FALSE)/HLOOKUP("Mins",A1:CV300,60,FALSE)* 90)</f>
      </c>
      <c r="BO60" s="4669">
        <f>IF(HLOOKUP("Mins",A1:CV300,60,FALSE)=0,0,HLOOKUP("Gs - Open",A1:CV300,60,FALSE)/HLOOKUP("Mins",A1:CV300,60,FALSE)* 90)</f>
      </c>
      <c r="BP60" s="4670">
        <f>IF(HLOOKUP("Mins",A1:CV300,60,FALSE)=0,0,HLOOKUP("ICT Index",A1:CV300,60,FALSE)/HLOOKUP("Mins",A1:CV300,60,FALSE)* 90)</f>
      </c>
      <c r="BQ60" s="4671">
        <f>IF(HLOOKUP("Mins",A1:CV300,60,FALSE)=0,0,(0.043*(HLOOKUP("Shots",A1:CV300,60,FALSE)-HLOOKUP("SIB",A1:CV300,60,FALSE))+0.162*(HLOOKUP("SIB",A1:CV300,60,FALSE)-(HLOOKUP("PK Gs",A1:CV300,60,FALSE)+HLOOKUP("PK Miss",A1:CV300,60,FALSE)))+0.75*(HLOOKUP("PK Gs",A1:CV300,60,FALSE)+HLOOKUP("PK Miss",A1:CV300,60,FALSE)))/HLOOKUP("Mins",A1:CV300,60,FALSE)*90)</f>
      </c>
      <c r="BR60" s="4672">
        <f>0.103*HLOOKUP("KP/90",A1:CV300,60,FALSE)</f>
      </c>
      <c r="BS60" s="4673">
        <f>4*HLOOKUP("xG/90",A1:CV300,60,FALSE)+3*HLOOKUP("xA/90",A1:CV300,60,FALSE)</f>
      </c>
      <c r="BT60" s="4674">
        <f>HLOOKUP("xPts/90",A1:CV300,60,FALSE)-(4*0.75*(HLOOKUP("PK Gs",A1:CV300,60,FALSE)+HLOOKUP("PK Miss",A1:CV300,60,FALSE))*90/HLOOKUP("Mins",A1:CV300,60,FALSE))</f>
      </c>
      <c r="BU60" s="4675">
        <f>IF(HLOOKUP("Mins",A1:CV300,60,FALSE)=0,0,HLOOKUP("fsXG",A1:CV300,60,FALSE)/HLOOKUP("Mins",A1:CV300,60,FALSE)* 90)</f>
      </c>
      <c r="BV60" s="4676">
        <f>IF(HLOOKUP("Mins",A1:CV300,60,FALSE)=0,0,HLOOKUP("fsXA",A1:CV300,60,FALSE)/HLOOKUP("Mins",A1:CV300,60,FALSE)* 90)</f>
      </c>
      <c r="BW60" s="4677">
        <f>4*HLOOKUP("fsXG/90",A1:CV300,60,FALSE)+3*HLOOKUP("fsXA/90",A1:CV300,60,FALSE)</f>
      </c>
      <c r="BX60" t="n" s="4678">
        <v>0.4932714104652405</v>
      </c>
      <c r="BY60" t="n" s="4679">
        <v>0.0</v>
      </c>
      <c r="BZ60" s="4680">
        <f>4*HLOOKUP("uXG/90",A1:CV300,60,FALSE)+3*HLOOKUP("uXA/90",A1:CV300,60,FALSE)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4681">
        <v>1</v>
      </c>
      <c r="B1" t="s" s="4682">
        <v>2</v>
      </c>
      <c r="C1" t="s" s="4683">
        <v>3</v>
      </c>
      <c r="D1" t="s" s="4684">
        <v>4</v>
      </c>
      <c r="E1" t="s" s="4685">
        <v>5</v>
      </c>
      <c r="F1" t="s" s="4686">
        <v>6</v>
      </c>
      <c r="G1" t="s" s="4687">
        <v>7</v>
      </c>
      <c r="H1" t="s" s="4688">
        <v>8</v>
      </c>
      <c r="I1" t="s" s="4689">
        <v>9</v>
      </c>
      <c r="J1" t="s" s="4690">
        <v>10</v>
      </c>
      <c r="K1" t="s" s="4691">
        <v>11</v>
      </c>
      <c r="L1" t="s" s="4692">
        <v>12</v>
      </c>
      <c r="M1" t="s" s="4693">
        <v>13</v>
      </c>
      <c r="N1" t="s" s="4694">
        <v>14</v>
      </c>
      <c r="O1" t="s" s="4695">
        <v>15</v>
      </c>
      <c r="P1" t="s" s="4696">
        <v>16</v>
      </c>
      <c r="Q1" t="s" s="4697">
        <v>17</v>
      </c>
      <c r="R1" t="s" s="4698">
        <v>18</v>
      </c>
      <c r="S1" t="s" s="4699">
        <v>19</v>
      </c>
      <c r="T1" t="s" s="4700">
        <v>20</v>
      </c>
      <c r="U1" t="s" s="4701">
        <v>21</v>
      </c>
      <c r="V1" t="s" s="4702">
        <v>22</v>
      </c>
      <c r="W1" t="s" s="4703">
        <v>23</v>
      </c>
      <c r="X1" t="s" s="4704">
        <v>24</v>
      </c>
      <c r="Y1" t="s" s="4705">
        <v>25</v>
      </c>
      <c r="Z1" t="s" s="4706">
        <v>26</v>
      </c>
      <c r="AA1" t="s" s="4707">
        <v>27</v>
      </c>
      <c r="AB1" t="s" s="4708">
        <v>28</v>
      </c>
      <c r="AC1" t="s" s="4709">
        <v>29</v>
      </c>
      <c r="AD1" t="s" s="4710">
        <v>30</v>
      </c>
      <c r="AE1" t="s" s="4711">
        <v>31</v>
      </c>
      <c r="AF1" t="s" s="4712">
        <v>32</v>
      </c>
      <c r="AG1" t="s" s="4713">
        <v>33</v>
      </c>
      <c r="AH1" t="s" s="4714">
        <v>34</v>
      </c>
      <c r="AI1" t="s" s="4715">
        <v>35</v>
      </c>
      <c r="AJ1" t="s" s="4716">
        <v>36</v>
      </c>
      <c r="AK1" t="s" s="4717">
        <v>37</v>
      </c>
      <c r="AL1" t="s" s="4718">
        <v>38</v>
      </c>
      <c r="AM1" t="s" s="4719">
        <v>39</v>
      </c>
      <c r="AN1" t="s" s="4720">
        <v>40</v>
      </c>
      <c r="AO1" t="s" s="4721">
        <v>41</v>
      </c>
      <c r="AP1" t="s" s="4722">
        <v>42</v>
      </c>
      <c r="AQ1" t="s" s="4723">
        <v>43</v>
      </c>
      <c r="AR1" t="s" s="4724">
        <v>44</v>
      </c>
      <c r="AS1" t="s" s="4725">
        <v>45</v>
      </c>
      <c r="AT1" t="s" s="4726">
        <v>46</v>
      </c>
      <c r="AU1" t="s" s="4727">
        <v>47</v>
      </c>
      <c r="AV1" t="s" s="4728">
        <v>48</v>
      </c>
      <c r="AW1" t="s" s="4729">
        <v>49</v>
      </c>
      <c r="AX1" t="s" s="4730">
        <v>50</v>
      </c>
      <c r="AY1" t="s" s="4731">
        <v>51</v>
      </c>
      <c r="AZ1" t="s" s="4732">
        <v>52</v>
      </c>
      <c r="BA1" t="s" s="4733">
        <v>53</v>
      </c>
      <c r="BB1" t="s" s="4734">
        <v>54</v>
      </c>
      <c r="BC1" t="s" s="4735">
        <v>55</v>
      </c>
      <c r="BD1" t="s" s="4736">
        <v>56</v>
      </c>
      <c r="BE1" t="s" s="4737">
        <v>57</v>
      </c>
      <c r="BF1" t="s" s="4738">
        <v>58</v>
      </c>
      <c r="BG1" t="s" s="4739">
        <v>59</v>
      </c>
      <c r="BH1" t="s" s="4740">
        <v>60</v>
      </c>
      <c r="BI1" t="s" s="4741">
        <v>61</v>
      </c>
      <c r="BJ1" t="s" s="4742">
        <v>62</v>
      </c>
      <c r="BK1" t="s" s="4743">
        <v>63</v>
      </c>
      <c r="BL1" t="s" s="4744">
        <v>64</v>
      </c>
      <c r="BM1" t="s" s="4745">
        <v>65</v>
      </c>
      <c r="BN1" t="s" s="4746">
        <v>66</v>
      </c>
      <c r="BO1" t="s" s="4747">
        <v>67</v>
      </c>
      <c r="BP1" t="s" s="4748">
        <v>68</v>
      </c>
      <c r="BQ1" t="s" s="4749">
        <v>69</v>
      </c>
      <c r="BR1" t="s" s="4750">
        <v>70</v>
      </c>
      <c r="BS1" t="s" s="4751">
        <v>71</v>
      </c>
      <c r="BT1" t="s" s="4752">
        <v>72</v>
      </c>
      <c r="BU1" t="s" s="4753">
        <v>73</v>
      </c>
      <c r="BV1" t="s" s="4754">
        <v>74</v>
      </c>
      <c r="BW1" t="s" s="4755">
        <v>75</v>
      </c>
      <c r="BX1" t="s" s="4756">
        <v>76</v>
      </c>
      <c r="BY1" t="s" s="4757">
        <v>77</v>
      </c>
      <c r="BZ1" t="s" s="4758">
        <v>78</v>
      </c>
    </row>
    <row r="2">
      <c r="A2" t="s" s="4759">
        <v>158</v>
      </c>
      <c r="B2" t="s" s="4760">
        <v>144</v>
      </c>
      <c r="C2" t="n" s="4761">
        <v>5.199999809265137</v>
      </c>
      <c r="D2" t="n" s="4762">
        <v>540.0</v>
      </c>
      <c r="E2" t="n" s="4763">
        <v>6.0</v>
      </c>
      <c r="F2" t="n" s="4764">
        <v>54.0</v>
      </c>
      <c r="G2" t="n" s="4765">
        <v>0.0</v>
      </c>
      <c r="H2" t="n" s="4766">
        <v>2.0</v>
      </c>
      <c r="I2" t="n" s="4767">
        <v>339.0</v>
      </c>
      <c r="J2" s="4768">
        <f>HLOOKUP("BPS",A1:CV300,2,FALSE)-((-6*HLOOKUP("OG",A1:CV300,2,FALSE))+(-6*HLOOKUP("PK Miss",A1:CV300,2,FALSE))+(9*HLOOKUP("FPL As",A1:CV300,2,FALSE))+(12*HLOOKUP("CS",A1:CV300,2,FALSE))+(12*HLOOKUP("Gs",A1:CV300,2,FALSE)))</f>
      </c>
      <c r="K2" t="n" s="4769">
        <v>0.0</v>
      </c>
      <c r="L2" t="n" s="4770">
        <v>4.0</v>
      </c>
      <c r="M2" t="n" s="4771">
        <v>8.0</v>
      </c>
      <c r="N2" t="n" s="4772">
        <v>6.0</v>
      </c>
      <c r="O2" t="n" s="4773">
        <v>5.0</v>
      </c>
      <c r="P2" s="4774">
        <f>IF(HLOOKUP("Shots",A1:CV300,2,FALSE)=0,0,HLOOKUP("SIB",A1:CV300,2,FALSE)/HLOOKUP("Shots",A1:CV300,2,FALSE))</f>
      </c>
      <c r="Q2" t="n" s="4775">
        <v>1.0</v>
      </c>
      <c r="R2" s="4776">
        <f>IF(HLOOKUP("Shots",A1:CV300,2,FALSE)=0,0,HLOOKUP("S6YD",A1:CV300,2,FALSE)/HLOOKUP("Shots",A1:CV300,2,FALSE))</f>
      </c>
      <c r="S2" t="n" s="4777">
        <v>5.0</v>
      </c>
      <c r="T2" s="4778">
        <f>IF(HLOOKUP("Shots",A1:CV300,2,FALSE)=0,0,HLOOKUP("Headers",A1:CV300,2,FALSE)/HLOOKUP("Shots",A1:CV300,2,FALSE))</f>
      </c>
      <c r="U2" t="n" s="4779">
        <v>3.0</v>
      </c>
      <c r="V2" s="4780">
        <f>IF(HLOOKUP("Shots",A1:CV300,2,FALSE)=0,0,HLOOKUP("SOT",A1:CV300,2,FALSE)/HLOOKUP("Shots",A1:CV300,2,FALSE))</f>
      </c>
      <c r="W2" s="4781">
        <f>IF(HLOOKUP("Shots",A1:CV300,2,FALSE)=0,0,HLOOKUP("Gs",A1:CV300,2,FALSE)/HLOOKUP("Shots",A1:CV300,2,FALSE))</f>
      </c>
      <c r="X2" t="n" s="4782">
        <v>0.0</v>
      </c>
      <c r="Y2" t="n" s="4783">
        <v>0.0</v>
      </c>
      <c r="Z2" t="n" s="4784">
        <v>1.0</v>
      </c>
      <c r="AA2" s="4785">
        <f>IF(HLOOKUP("KP",A1:CV300,2,FALSE)=0,0,HLOOKUP("As",A1:CV300,2,FALSE)/HLOOKUP("KP",A1:CV300,2,FALSE))</f>
      </c>
      <c r="AB2" t="n" s="4786">
        <v>27.4</v>
      </c>
      <c r="AC2" t="n" s="4787">
        <v>0.0</v>
      </c>
      <c r="AD2" t="n" s="4788">
        <v>0.0</v>
      </c>
      <c r="AE2" t="n" s="4789">
        <v>1.0</v>
      </c>
      <c r="AF2" t="n" s="4790">
        <v>1.0</v>
      </c>
      <c r="AG2" s="4791">
        <f>IF(HLOOKUP("BC",A1:CV300,2,FALSE)=0,0,HLOOKUP("Gs - BC",A1:CV300,2,FALSE)/HLOOKUP("BC",A1:CV300,2,FALSE))</f>
      </c>
      <c r="AH2" s="4792">
        <f>HLOOKUP("BC",A1:CV300,2,FALSE) - HLOOKUP("BC Miss",A1:CV300,2,FALSE)</f>
      </c>
      <c r="AI2" s="4793">
        <f>IF(HLOOKUP("Gs",A1:CV300,2,FALSE)=0,0,HLOOKUP("Gs - BC",A1:CV300,2,FALSE)/HLOOKUP("Gs",A1:CV300,2,FALSE))</f>
      </c>
      <c r="AJ2" t="n" s="4794">
        <v>0.0</v>
      </c>
      <c r="AK2" t="n" s="4795">
        <v>0.0</v>
      </c>
      <c r="AL2" s="4796">
        <f>HLOOKUP("BC",A1:CV300,2,FALSE) - (HLOOKUP("PK Gs",A1:CV300,2,FALSE) + HLOOKUP("PK Miss",A1:CV300,2,FALSE))</f>
      </c>
      <c r="AM2" s="4797">
        <f>HLOOKUP("BC Miss",A1:CV300,2,FALSE) - HLOOKUP("PK Miss",A1:CV300,2,FALSE)</f>
      </c>
      <c r="AN2" s="4798">
        <f>IF(HLOOKUP("BC - Open",A1:CV300,2,FALSE)=0,0,HLOOKUP("BC - Open Miss",A1:CV300,2,FALSE)/HLOOKUP("BC - Open",A1:CV300,2,FALSE))</f>
      </c>
      <c r="AO2" t="n" s="4799">
        <v>0.0</v>
      </c>
      <c r="AP2" s="4800">
        <f>IF(HLOOKUP("Gs",A1:CV300,2,FALSE)=0,0,HLOOKUP("GIB",A1:CV300,2,FALSE)/HLOOKUP("Gs",A1:CV300,2,FALSE))</f>
      </c>
      <c r="AQ2" t="n" s="4801">
        <v>0.0</v>
      </c>
      <c r="AR2" s="4802">
        <f>IF(HLOOKUP("Gs",A1:CV300,2,FALSE)=0,0,HLOOKUP("Gs - Open",A1:CV300,2,FALSE)/HLOOKUP("Gs",A1:CV300,2,FALSE))</f>
      </c>
      <c r="AS2" t="n" s="4803">
        <v>0.44</v>
      </c>
      <c r="AT2" t="n" s="4804">
        <v>0.07</v>
      </c>
      <c r="AU2" s="4805">
        <f>IF(HLOOKUP("Mins",A1:CV300,2,FALSE)=0,0,HLOOKUP("Pts",A1:CV300,2,FALSE)/HLOOKUP("Mins",A1:CV300,2,FALSE)* 90)</f>
      </c>
      <c r="AV2" s="4806">
        <f>IF(HLOOKUP("Apps",A1:CV300,2,FALSE)=0,0,HLOOKUP("Pts",A1:CV300,2,FALSE)/HLOOKUP("Apps",A1:CV300,2,FALSE)* 1)</f>
      </c>
      <c r="AW2" s="4807">
        <f>IF(HLOOKUP("Mins",A1:CV300,2,FALSE)=0,0,HLOOKUP("Gs",A1:CV300,2,FALSE)/HLOOKUP("Mins",A1:CV300,2,FALSE)* 90)</f>
      </c>
      <c r="AX2" s="4808">
        <f>IF(HLOOKUP("Mins",A1:CV300,2,FALSE)=0,0,HLOOKUP("Bonus",A1:CV300,2,FALSE)/HLOOKUP("Mins",A1:CV300,2,FALSE)* 90)</f>
      </c>
      <c r="AY2" s="4809">
        <f>IF(HLOOKUP("Mins",A1:CV300,2,FALSE)=0,0,HLOOKUP("BPS",A1:CV300,2,FALSE)/HLOOKUP("Mins",A1:CV300,2,FALSE)* 90)</f>
      </c>
      <c r="AZ2" s="4810">
        <f>IF(HLOOKUP("Mins",A1:CV300,2,FALSE)=0,0,HLOOKUP("Base BPS",A1:CV300,2,FALSE)/HLOOKUP("Mins",A1:CV300,2,FALSE)* 90)</f>
      </c>
      <c r="BA2" s="4811">
        <f>IF(HLOOKUP("Mins",A1:CV300,2,FALSE)=0,0,HLOOKUP("PenTchs",A1:CV300,2,FALSE)/HLOOKUP("Mins",A1:CV300,2,FALSE)* 90)</f>
      </c>
      <c r="BB2" s="4812">
        <f>IF(HLOOKUP("Mins",A1:CV300,2,FALSE)=0,0,HLOOKUP("Shots",A1:CV300,2,FALSE)/HLOOKUP("Mins",A1:CV300,2,FALSE)* 90)</f>
      </c>
      <c r="BC2" s="4813">
        <f>IF(HLOOKUP("Mins",A1:CV300,2,FALSE)=0,0,HLOOKUP("SIB",A1:CV300,2,FALSE)/HLOOKUP("Mins",A1:CV300,2,FALSE)* 90)</f>
      </c>
      <c r="BD2" s="4814">
        <f>IF(HLOOKUP("Mins",A1:CV300,2,FALSE)=0,0,HLOOKUP("S6YD",A1:CV300,2,FALSE)/HLOOKUP("Mins",A1:CV300,2,FALSE)* 90)</f>
      </c>
      <c r="BE2" s="4815">
        <f>IF(HLOOKUP("Mins",A1:CV300,2,FALSE)=0,0,HLOOKUP("Headers",A1:CV300,2,FALSE)/HLOOKUP("Mins",A1:CV300,2,FALSE)* 90)</f>
      </c>
      <c r="BF2" s="4816">
        <f>IF(HLOOKUP("Mins",A1:CV300,2,FALSE)=0,0,HLOOKUP("SOT",A1:CV300,2,FALSE)/HLOOKUP("Mins",A1:CV300,2,FALSE)* 90)</f>
      </c>
      <c r="BG2" s="4817">
        <f>IF(HLOOKUP("Mins",A1:CV300,2,FALSE)=0,0,HLOOKUP("As",A1:CV300,2,FALSE)/HLOOKUP("Mins",A1:CV300,2,FALSE)* 90)</f>
      </c>
      <c r="BH2" s="4818">
        <f>IF(HLOOKUP("Mins",A1:CV300,2,FALSE)=0,0,HLOOKUP("FPL As",A1:CV300,2,FALSE)/HLOOKUP("Mins",A1:CV300,2,FALSE)* 90)</f>
      </c>
      <c r="BI2" s="4819">
        <f>IF(HLOOKUP("Mins",A1:CV300,2,FALSE)=0,0,HLOOKUP("BC Created",A1:CV300,2,FALSE)/HLOOKUP("Mins",A1:CV300,2,FALSE)* 90)</f>
      </c>
      <c r="BJ2" s="4820">
        <f>IF(HLOOKUP("Mins",A1:CV300,2,FALSE)=0,0,HLOOKUP("KP",A1:CV300,2,FALSE)/HLOOKUP("Mins",A1:CV300,2,FALSE)* 90)</f>
      </c>
      <c r="BK2" s="4821">
        <f>IF(HLOOKUP("Mins",A1:CV300,2,FALSE)=0,0,HLOOKUP("BC",A1:CV300,2,FALSE)/HLOOKUP("Mins",A1:CV300,2,FALSE)* 90)</f>
      </c>
      <c r="BL2" s="4822">
        <f>IF(HLOOKUP("Mins",A1:CV300,2,FALSE)=0,0,HLOOKUP("BC Miss",A1:CV300,2,FALSE)/HLOOKUP("Mins",A1:CV300,2,FALSE)* 90)</f>
      </c>
      <c r="BM2" s="4823">
        <f>IF(HLOOKUP("Mins",A1:CV300,2,FALSE)=0,0,HLOOKUP("Gs - BC",A1:CV300,2,FALSE)/HLOOKUP("Mins",A1:CV300,2,FALSE)* 90)</f>
      </c>
      <c r="BN2" s="4824">
        <f>IF(HLOOKUP("Mins",A1:CV300,2,FALSE)=0,0,HLOOKUP("GIB",A1:CV300,2,FALSE)/HLOOKUP("Mins",A1:CV300,2,FALSE)* 90)</f>
      </c>
      <c r="BO2" s="4825">
        <f>IF(HLOOKUP("Mins",A1:CV300,2,FALSE)=0,0,HLOOKUP("Gs - Open",A1:CV300,2,FALSE)/HLOOKUP("Mins",A1:CV300,2,FALSE)* 90)</f>
      </c>
      <c r="BP2" s="4826">
        <f>IF(HLOOKUP("Mins",A1:CV300,2,FALSE)=0,0,HLOOKUP("ICT Index",A1:CV300,2,FALSE)/HLOOKUP("Mins",A1:CV300,2,FALSE)* 90)</f>
      </c>
      <c r="BQ2" s="4827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4828">
        <f>0.0825*HLOOKUP("KP/90",A1:CV300,2,FALSE)</f>
      </c>
      <c r="BS2" s="4829">
        <f>6*HLOOKUP("xG/90",A1:CV300,2,FALSE)+3*HLOOKUP("xA/90",A1:CV300,2,FALSE)</f>
      </c>
      <c r="BT2" s="4830">
        <f>HLOOKUP("xPts/90",A1:CV300,2,FALSE)-(6*0.75*(HLOOKUP("PK Gs",A1:CV300,2,FALSE)+HLOOKUP("PK Miss",A1:CV300,2,FALSE))*90/HLOOKUP("Mins",A1:CV300,2,FALSE))</f>
      </c>
      <c r="BU2" s="4831">
        <f>IF(HLOOKUP("Mins",A1:CV300,2,FALSE)=0,0,HLOOKUP("fsXG",A1:CV300,2,FALSE)/HLOOKUP("Mins",A1:CV300,2,FALSE)* 90)</f>
      </c>
      <c r="BV2" s="4832">
        <f>IF(HLOOKUP("Mins",A1:CV300,2,FALSE)=0,0,HLOOKUP("fsXA",A1:CV300,2,FALSE)/HLOOKUP("Mins",A1:CV300,2,FALSE)* 90)</f>
      </c>
      <c r="BW2" s="4833">
        <f>6*HLOOKUP("fsXG/90",A1:CV300,2,FALSE)+3*HLOOKUP("fsXA/90",A1:CV300,2,FALSE)</f>
      </c>
      <c r="BX2" t="n" s="4834">
        <v>0.08292801678180695</v>
      </c>
      <c r="BY2" t="n" s="4835">
        <v>0.0020821229554712772</v>
      </c>
      <c r="BZ2" s="4836">
        <f>6*HLOOKUP("uXG/90",A1:CV300,2,FALSE)+3*HLOOKUP("uXA/90",A1:CV300,2,FALSE)</f>
      </c>
    </row>
    <row r="3">
      <c r="A3" t="s" s="4837">
        <v>159</v>
      </c>
      <c r="B3" t="s" s="4838">
        <v>82</v>
      </c>
      <c r="C3" t="n" s="4839">
        <v>5.300000190734863</v>
      </c>
      <c r="D3" t="n" s="4840">
        <v>534.0</v>
      </c>
      <c r="E3" t="n" s="4841">
        <v>6.0</v>
      </c>
      <c r="F3" t="n" s="4842">
        <v>87.0</v>
      </c>
      <c r="G3" t="n" s="4843">
        <v>0.0</v>
      </c>
      <c r="H3" t="n" s="4844">
        <v>7.0</v>
      </c>
      <c r="I3" t="n" s="4845">
        <v>450.0</v>
      </c>
      <c r="J3" s="4846">
        <f>HLOOKUP("BPS",A1:CV300,3,FALSE)-((-6*HLOOKUP("OG",A1:CV300,3,FALSE))+(-6*HLOOKUP("PK Miss",A1:CV300,3,FALSE))+(9*HLOOKUP("FPL As",A1:CV300,3,FALSE))+(12*HLOOKUP("CS",A1:CV300,3,FALSE))+(12*HLOOKUP("Gs",A1:CV300,3,FALSE)))</f>
      </c>
      <c r="K3" t="n" s="4847">
        <v>0.0</v>
      </c>
      <c r="L3" t="n" s="4848">
        <v>8.0</v>
      </c>
      <c r="M3" t="n" s="4849">
        <v>3.0</v>
      </c>
      <c r="N3" t="n" s="4850">
        <v>3.0</v>
      </c>
      <c r="O3" t="n" s="4851">
        <v>3.0</v>
      </c>
      <c r="P3" s="4852">
        <f>IF(HLOOKUP("Shots",A1:CV300,3,FALSE)=0,0,HLOOKUP("SIB",A1:CV300,3,FALSE)/HLOOKUP("Shots",A1:CV300,3,FALSE))</f>
      </c>
      <c r="Q3" t="n" s="4853">
        <v>2.0</v>
      </c>
      <c r="R3" s="4854">
        <f>IF(HLOOKUP("Shots",A1:CV300,3,FALSE)=0,0,HLOOKUP("S6YD",A1:CV300,3,FALSE)/HLOOKUP("Shots",A1:CV300,3,FALSE))</f>
      </c>
      <c r="S3" t="n" s="4855">
        <v>3.0</v>
      </c>
      <c r="T3" s="4856">
        <f>IF(HLOOKUP("Shots",A1:CV300,3,FALSE)=0,0,HLOOKUP("Headers",A1:CV300,3,FALSE)/HLOOKUP("Shots",A1:CV300,3,FALSE))</f>
      </c>
      <c r="U3" t="n" s="4857">
        <v>2.0</v>
      </c>
      <c r="V3" s="4858">
        <f>IF(HLOOKUP("Shots",A1:CV300,3,FALSE)=0,0,HLOOKUP("SOT",A1:CV300,3,FALSE)/HLOOKUP("Shots",A1:CV300,3,FALSE))</f>
      </c>
      <c r="W3" s="4859">
        <f>IF(HLOOKUP("Shots",A1:CV300,3,FALSE)=0,0,HLOOKUP("Gs",A1:CV300,3,FALSE)/HLOOKUP("Shots",A1:CV300,3,FALSE))</f>
      </c>
      <c r="X3" t="n" s="4860">
        <v>0.0</v>
      </c>
      <c r="Y3" t="n" s="4861">
        <v>2.0</v>
      </c>
      <c r="Z3" t="n" s="4862">
        <v>0.0</v>
      </c>
      <c r="AA3" s="4863">
        <f>IF(HLOOKUP("KP",A1:CV300,3,FALSE)=0,0,HLOOKUP("As",A1:CV300,3,FALSE)/HLOOKUP("KP",A1:CV300,3,FALSE))</f>
      </c>
      <c r="AB3" t="n" s="4864">
        <v>20.6</v>
      </c>
      <c r="AC3" t="n" s="4865">
        <v>0.0</v>
      </c>
      <c r="AD3" t="n" s="4866">
        <v>0.0</v>
      </c>
      <c r="AE3" t="n" s="4867">
        <v>0.0</v>
      </c>
      <c r="AF3" t="n" s="4868">
        <v>0.0</v>
      </c>
      <c r="AG3" s="4869">
        <f>IF(HLOOKUP("BC",A1:CV300,3,FALSE)=0,0,HLOOKUP("Gs - BC",A1:CV300,3,FALSE)/HLOOKUP("BC",A1:CV300,3,FALSE))</f>
      </c>
      <c r="AH3" s="4870">
        <f>HLOOKUP("BC",A1:CV300,3,FALSE) - HLOOKUP("BC Miss",A1:CV300,3,FALSE)</f>
      </c>
      <c r="AI3" s="4871">
        <f>IF(HLOOKUP("Gs",A1:CV300,3,FALSE)=0,0,HLOOKUP("Gs - BC",A1:CV300,3,FALSE)/HLOOKUP("Gs",A1:CV300,3,FALSE))</f>
      </c>
      <c r="AJ3" t="n" s="4872">
        <v>0.0</v>
      </c>
      <c r="AK3" t="n" s="4873">
        <v>0.0</v>
      </c>
      <c r="AL3" s="4874">
        <f>HLOOKUP("BC",A1:CV300,3,FALSE) - (HLOOKUP("PK Gs",A1:CV300,3,FALSE) + HLOOKUP("PK Miss",A1:CV300,3,FALSE))</f>
      </c>
      <c r="AM3" s="4875">
        <f>HLOOKUP("BC Miss",A1:CV300,3,FALSE) - HLOOKUP("PK Miss",A1:CV300,3,FALSE)</f>
      </c>
      <c r="AN3" s="4876">
        <f>IF(HLOOKUP("BC - Open",A1:CV300,3,FALSE)=0,0,HLOOKUP("BC - Open Miss",A1:CV300,3,FALSE)/HLOOKUP("BC - Open",A1:CV300,3,FALSE))</f>
      </c>
      <c r="AO3" t="n" s="4877">
        <v>0.0</v>
      </c>
      <c r="AP3" s="4878">
        <f>IF(HLOOKUP("Gs",A1:CV300,3,FALSE)=0,0,HLOOKUP("GIB",A1:CV300,3,FALSE)/HLOOKUP("Gs",A1:CV300,3,FALSE))</f>
      </c>
      <c r="AQ3" t="n" s="4879">
        <v>0.0</v>
      </c>
      <c r="AR3" s="4880">
        <f>IF(HLOOKUP("Gs",A1:CV300,3,FALSE)=0,0,HLOOKUP("Gs - Open",A1:CV300,3,FALSE)/HLOOKUP("Gs",A1:CV300,3,FALSE))</f>
      </c>
      <c r="AS3" t="n" s="4881">
        <v>0.54</v>
      </c>
      <c r="AT3" t="n" s="4882">
        <v>0.05</v>
      </c>
      <c r="AU3" s="4883">
        <f>IF(HLOOKUP("Mins",A1:CV300,3,FALSE)=0,0,HLOOKUP("Pts",A1:CV300,3,FALSE)/HLOOKUP("Mins",A1:CV300,3,FALSE)* 90)</f>
      </c>
      <c r="AV3" s="4884">
        <f>IF(HLOOKUP("Apps",A1:CV300,3,FALSE)=0,0,HLOOKUP("Pts",A1:CV300,3,FALSE)/HLOOKUP("Apps",A1:CV300,3,FALSE)* 1)</f>
      </c>
      <c r="AW3" s="4885">
        <f>IF(HLOOKUP("Mins",A1:CV300,3,FALSE)=0,0,HLOOKUP("Gs",A1:CV300,3,FALSE)/HLOOKUP("Mins",A1:CV300,3,FALSE)* 90)</f>
      </c>
      <c r="AX3" s="4886">
        <f>IF(HLOOKUP("Mins",A1:CV300,3,FALSE)=0,0,HLOOKUP("Bonus",A1:CV300,3,FALSE)/HLOOKUP("Mins",A1:CV300,3,FALSE)* 90)</f>
      </c>
      <c r="AY3" s="4887">
        <f>IF(HLOOKUP("Mins",A1:CV300,3,FALSE)=0,0,HLOOKUP("BPS",A1:CV300,3,FALSE)/HLOOKUP("Mins",A1:CV300,3,FALSE)* 90)</f>
      </c>
      <c r="AZ3" s="4888">
        <f>IF(HLOOKUP("Mins",A1:CV300,3,FALSE)=0,0,HLOOKUP("Base BPS",A1:CV300,3,FALSE)/HLOOKUP("Mins",A1:CV300,3,FALSE)* 90)</f>
      </c>
      <c r="BA3" s="4889">
        <f>IF(HLOOKUP("Mins",A1:CV300,3,FALSE)=0,0,HLOOKUP("PenTchs",A1:CV300,3,FALSE)/HLOOKUP("Mins",A1:CV300,3,FALSE)* 90)</f>
      </c>
      <c r="BB3" s="4890">
        <f>IF(HLOOKUP("Mins",A1:CV300,3,FALSE)=0,0,HLOOKUP("Shots",A1:CV300,3,FALSE)/HLOOKUP("Mins",A1:CV300,3,FALSE)* 90)</f>
      </c>
      <c r="BC3" s="4891">
        <f>IF(HLOOKUP("Mins",A1:CV300,3,FALSE)=0,0,HLOOKUP("SIB",A1:CV300,3,FALSE)/HLOOKUP("Mins",A1:CV300,3,FALSE)* 90)</f>
      </c>
      <c r="BD3" s="4892">
        <f>IF(HLOOKUP("Mins",A1:CV300,3,FALSE)=0,0,HLOOKUP("S6YD",A1:CV300,3,FALSE)/HLOOKUP("Mins",A1:CV300,3,FALSE)* 90)</f>
      </c>
      <c r="BE3" s="4893">
        <f>IF(HLOOKUP("Mins",A1:CV300,3,FALSE)=0,0,HLOOKUP("Headers",A1:CV300,3,FALSE)/HLOOKUP("Mins",A1:CV300,3,FALSE)* 90)</f>
      </c>
      <c r="BF3" s="4894">
        <f>IF(HLOOKUP("Mins",A1:CV300,3,FALSE)=0,0,HLOOKUP("SOT",A1:CV300,3,FALSE)/HLOOKUP("Mins",A1:CV300,3,FALSE)* 90)</f>
      </c>
      <c r="BG3" s="4895">
        <f>IF(HLOOKUP("Mins",A1:CV300,3,FALSE)=0,0,HLOOKUP("As",A1:CV300,3,FALSE)/HLOOKUP("Mins",A1:CV300,3,FALSE)* 90)</f>
      </c>
      <c r="BH3" s="4896">
        <f>IF(HLOOKUP("Mins",A1:CV300,3,FALSE)=0,0,HLOOKUP("FPL As",A1:CV300,3,FALSE)/HLOOKUP("Mins",A1:CV300,3,FALSE)* 90)</f>
      </c>
      <c r="BI3" s="4897">
        <f>IF(HLOOKUP("Mins",A1:CV300,3,FALSE)=0,0,HLOOKUP("BC Created",A1:CV300,3,FALSE)/HLOOKUP("Mins",A1:CV300,3,FALSE)* 90)</f>
      </c>
      <c r="BJ3" s="4898">
        <f>IF(HLOOKUP("Mins",A1:CV300,3,FALSE)=0,0,HLOOKUP("KP",A1:CV300,3,FALSE)/HLOOKUP("Mins",A1:CV300,3,FALSE)* 90)</f>
      </c>
      <c r="BK3" s="4899">
        <f>IF(HLOOKUP("Mins",A1:CV300,3,FALSE)=0,0,HLOOKUP("BC",A1:CV300,3,FALSE)/HLOOKUP("Mins",A1:CV300,3,FALSE)* 90)</f>
      </c>
      <c r="BL3" s="4900">
        <f>IF(HLOOKUP("Mins",A1:CV300,3,FALSE)=0,0,HLOOKUP("BC Miss",A1:CV300,3,FALSE)/HLOOKUP("Mins",A1:CV300,3,FALSE)* 90)</f>
      </c>
      <c r="BM3" s="4901">
        <f>IF(HLOOKUP("Mins",A1:CV300,3,FALSE)=0,0,HLOOKUP("Gs - BC",A1:CV300,3,FALSE)/HLOOKUP("Mins",A1:CV300,3,FALSE)* 90)</f>
      </c>
      <c r="BN3" s="4902">
        <f>IF(HLOOKUP("Mins",A1:CV300,3,FALSE)=0,0,HLOOKUP("GIB",A1:CV300,3,FALSE)/HLOOKUP("Mins",A1:CV300,3,FALSE)* 90)</f>
      </c>
      <c r="BO3" s="4903">
        <f>IF(HLOOKUP("Mins",A1:CV300,3,FALSE)=0,0,HLOOKUP("Gs - Open",A1:CV300,3,FALSE)/HLOOKUP("Mins",A1:CV300,3,FALSE)* 90)</f>
      </c>
      <c r="BP3" s="4904">
        <f>IF(HLOOKUP("Mins",A1:CV300,3,FALSE)=0,0,HLOOKUP("ICT Index",A1:CV300,3,FALSE)/HLOOKUP("Mins",A1:CV300,3,FALSE)* 90)</f>
      </c>
      <c r="BQ3" s="4905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4906">
        <f>0.0825*HLOOKUP("KP/90",A1:CV300,3,FALSE)</f>
      </c>
      <c r="BS3" s="4907">
        <f>6*HLOOKUP("xG/90",A1:CV300,3,FALSE)+3*HLOOKUP("xA/90",A1:CV300,3,FALSE)</f>
      </c>
      <c r="BT3" s="4908">
        <f>HLOOKUP("xPts/90",A1:CV300,3,FALSE)-(6*0.75*(HLOOKUP("PK Gs",A1:CV300,3,FALSE)+HLOOKUP("PK Miss",A1:CV300,3,FALSE))*90/HLOOKUP("Mins",A1:CV300,3,FALSE))</f>
      </c>
      <c r="BU3" s="4909">
        <f>IF(HLOOKUP("Mins",A1:CV300,3,FALSE)=0,0,HLOOKUP("fsXG",A1:CV300,3,FALSE)/HLOOKUP("Mins",A1:CV300,3,FALSE)* 90)</f>
      </c>
      <c r="BV3" s="4910">
        <f>IF(HLOOKUP("Mins",A1:CV300,3,FALSE)=0,0,HLOOKUP("fsXA",A1:CV300,3,FALSE)/HLOOKUP("Mins",A1:CV300,3,FALSE)* 90)</f>
      </c>
      <c r="BW3" s="4911">
        <f>6*HLOOKUP("fsXG/90",A1:CV300,3,FALSE)+3*HLOOKUP("fsXA/90",A1:CV300,3,FALSE)</f>
      </c>
      <c r="BX3" t="n" s="4912">
        <v>0.04346422851085663</v>
      </c>
      <c r="BY3" t="n" s="4913">
        <v>0.0</v>
      </c>
      <c r="BZ3" s="4914">
        <f>6*HLOOKUP("uXG/90",A1:CV300,3,FALSE)+3*HLOOKUP("uXA/90",A1:CV300,3,FALSE)</f>
      </c>
    </row>
    <row r="4">
      <c r="A4" t="s" s="4915">
        <v>160</v>
      </c>
      <c r="B4" t="s" s="4916">
        <v>102</v>
      </c>
      <c r="C4" t="n" s="4917">
        <v>4.300000190734863</v>
      </c>
      <c r="D4" t="n" s="4918">
        <v>44.0</v>
      </c>
      <c r="E4" t="n" s="4919">
        <v>2.0</v>
      </c>
      <c r="F4" t="n" s="4920">
        <v>14.0</v>
      </c>
      <c r="G4" t="n" s="4921">
        <v>0.0</v>
      </c>
      <c r="H4" t="n" s="4922">
        <v>0.0</v>
      </c>
      <c r="I4" t="n" s="4923">
        <v>80.0</v>
      </c>
      <c r="J4" s="4924">
        <f>HLOOKUP("BPS",A1:CV300,4,FALSE)-((-6*HLOOKUP("OG",A1:CV300,4,FALSE))+(-6*HLOOKUP("PK Miss",A1:CV300,4,FALSE))+(9*HLOOKUP("FPL As",A1:CV300,4,FALSE))+(12*HLOOKUP("CS",A1:CV300,4,FALSE))+(12*HLOOKUP("Gs",A1:CV300,4,FALSE)))</f>
      </c>
      <c r="K4" t="n" s="4925">
        <v>0.0</v>
      </c>
      <c r="L4" t="n" s="4926">
        <v>1.0</v>
      </c>
      <c r="M4" t="n" s="4927">
        <v>0.0</v>
      </c>
      <c r="N4" t="n" s="4928">
        <v>0.0</v>
      </c>
      <c r="O4" t="n" s="4929">
        <v>0.0</v>
      </c>
      <c r="P4" s="4930">
        <f>IF(HLOOKUP("Shots",A1:CV300,4,FALSE)=0,0,HLOOKUP("SIB",A1:CV300,4,FALSE)/HLOOKUP("Shots",A1:CV300,4,FALSE))</f>
      </c>
      <c r="Q4" t="n" s="4931">
        <v>0.0</v>
      </c>
      <c r="R4" s="4932">
        <f>IF(HLOOKUP("Shots",A1:CV300,4,FALSE)=0,0,HLOOKUP("S6YD",A1:CV300,4,FALSE)/HLOOKUP("Shots",A1:CV300,4,FALSE))</f>
      </c>
      <c r="S4" t="n" s="4933">
        <v>0.0</v>
      </c>
      <c r="T4" s="4934">
        <f>IF(HLOOKUP("Shots",A1:CV300,4,FALSE)=0,0,HLOOKUP("Headers",A1:CV300,4,FALSE)/HLOOKUP("Shots",A1:CV300,4,FALSE))</f>
      </c>
      <c r="U4" t="n" s="4935">
        <v>0.0</v>
      </c>
      <c r="V4" s="4936">
        <f>IF(HLOOKUP("Shots",A1:CV300,4,FALSE)=0,0,HLOOKUP("SOT",A1:CV300,4,FALSE)/HLOOKUP("Shots",A1:CV300,4,FALSE))</f>
      </c>
      <c r="W4" s="4937">
        <f>IF(HLOOKUP("Shots",A1:CV300,4,FALSE)=0,0,HLOOKUP("Gs",A1:CV300,4,FALSE)/HLOOKUP("Shots",A1:CV300,4,FALSE))</f>
      </c>
      <c r="X4" t="n" s="4938">
        <v>0.0</v>
      </c>
      <c r="Y4" t="n" s="4939">
        <v>0.0</v>
      </c>
      <c r="Z4" t="n" s="4940">
        <v>0.0</v>
      </c>
      <c r="AA4" s="4941">
        <f>IF(HLOOKUP("KP",A1:CV300,4,FALSE)=0,0,HLOOKUP("As",A1:CV300,4,FALSE)/HLOOKUP("KP",A1:CV300,4,FALSE))</f>
      </c>
      <c r="AB4" t="n" s="4942">
        <v>0.7</v>
      </c>
      <c r="AC4" t="n" s="4943">
        <v>0.0</v>
      </c>
      <c r="AD4" t="n" s="4944">
        <v>0.0</v>
      </c>
      <c r="AE4" t="n" s="4945">
        <v>0.0</v>
      </c>
      <c r="AF4" t="n" s="4946">
        <v>0.0</v>
      </c>
      <c r="AG4" s="4947">
        <f>IF(HLOOKUP("BC",A1:CV300,4,FALSE)=0,0,HLOOKUP("Gs - BC",A1:CV300,4,FALSE)/HLOOKUP("BC",A1:CV300,4,FALSE))</f>
      </c>
      <c r="AH4" s="4948">
        <f>HLOOKUP("BC",A1:CV300,4,FALSE) - HLOOKUP("BC Miss",A1:CV300,4,FALSE)</f>
      </c>
      <c r="AI4" s="4949">
        <f>IF(HLOOKUP("Gs",A1:CV300,4,FALSE)=0,0,HLOOKUP("Gs - BC",A1:CV300,4,FALSE)/HLOOKUP("Gs",A1:CV300,4,FALSE))</f>
      </c>
      <c r="AJ4" t="n" s="4950">
        <v>0.0</v>
      </c>
      <c r="AK4" t="n" s="4951">
        <v>0.0</v>
      </c>
      <c r="AL4" s="4952">
        <f>HLOOKUP("BC",A1:CV300,4,FALSE) - (HLOOKUP("PK Gs",A1:CV300,4,FALSE) + HLOOKUP("PK Miss",A1:CV300,4,FALSE))</f>
      </c>
      <c r="AM4" s="4953">
        <f>HLOOKUP("BC Miss",A1:CV300,4,FALSE) - HLOOKUP("PK Miss",A1:CV300,4,FALSE)</f>
      </c>
      <c r="AN4" s="4954">
        <f>IF(HLOOKUP("BC - Open",A1:CV300,4,FALSE)=0,0,HLOOKUP("BC - Open Miss",A1:CV300,4,FALSE)/HLOOKUP("BC - Open",A1:CV300,4,FALSE))</f>
      </c>
      <c r="AO4" t="n" s="4955">
        <v>0.0</v>
      </c>
      <c r="AP4" s="4956">
        <f>IF(HLOOKUP("Gs",A1:CV300,4,FALSE)=0,0,HLOOKUP("GIB",A1:CV300,4,FALSE)/HLOOKUP("Gs",A1:CV300,4,FALSE))</f>
      </c>
      <c r="AQ4" t="n" s="4957">
        <v>0.0</v>
      </c>
      <c r="AR4" s="4958">
        <f>IF(HLOOKUP("Gs",A1:CV300,4,FALSE)=0,0,HLOOKUP("Gs - Open",A1:CV300,4,FALSE)/HLOOKUP("Gs",A1:CV300,4,FALSE))</f>
      </c>
      <c r="AS4" t="n" s="4959">
        <v>0.0</v>
      </c>
      <c r="AT4" t="n" s="4960">
        <v>0.0</v>
      </c>
      <c r="AU4" s="4961">
        <f>IF(HLOOKUP("Mins",A1:CV300,4,FALSE)=0,0,HLOOKUP("Pts",A1:CV300,4,FALSE)/HLOOKUP("Mins",A1:CV300,4,FALSE)* 90)</f>
      </c>
      <c r="AV4" s="4962">
        <f>IF(HLOOKUP("Apps",A1:CV300,4,FALSE)=0,0,HLOOKUP("Pts",A1:CV300,4,FALSE)/HLOOKUP("Apps",A1:CV300,4,FALSE)* 1)</f>
      </c>
      <c r="AW4" s="4963">
        <f>IF(HLOOKUP("Mins",A1:CV300,4,FALSE)=0,0,HLOOKUP("Gs",A1:CV300,4,FALSE)/HLOOKUP("Mins",A1:CV300,4,FALSE)* 90)</f>
      </c>
      <c r="AX4" s="4964">
        <f>IF(HLOOKUP("Mins",A1:CV300,4,FALSE)=0,0,HLOOKUP("Bonus",A1:CV300,4,FALSE)/HLOOKUP("Mins",A1:CV300,4,FALSE)* 90)</f>
      </c>
      <c r="AY4" s="4965">
        <f>IF(HLOOKUP("Mins",A1:CV300,4,FALSE)=0,0,HLOOKUP("BPS",A1:CV300,4,FALSE)/HLOOKUP("Mins",A1:CV300,4,FALSE)* 90)</f>
      </c>
      <c r="AZ4" s="4966">
        <f>IF(HLOOKUP("Mins",A1:CV300,4,FALSE)=0,0,HLOOKUP("Base BPS",A1:CV300,4,FALSE)/HLOOKUP("Mins",A1:CV300,4,FALSE)* 90)</f>
      </c>
      <c r="BA4" s="4967">
        <f>IF(HLOOKUP("Mins",A1:CV300,4,FALSE)=0,0,HLOOKUP("PenTchs",A1:CV300,4,FALSE)/HLOOKUP("Mins",A1:CV300,4,FALSE)* 90)</f>
      </c>
      <c r="BB4" s="4968">
        <f>IF(HLOOKUP("Mins",A1:CV300,4,FALSE)=0,0,HLOOKUP("Shots",A1:CV300,4,FALSE)/HLOOKUP("Mins",A1:CV300,4,FALSE)* 90)</f>
      </c>
      <c r="BC4" s="4969">
        <f>IF(HLOOKUP("Mins",A1:CV300,4,FALSE)=0,0,HLOOKUP("SIB",A1:CV300,4,FALSE)/HLOOKUP("Mins",A1:CV300,4,FALSE)* 90)</f>
      </c>
      <c r="BD4" s="4970">
        <f>IF(HLOOKUP("Mins",A1:CV300,4,FALSE)=0,0,HLOOKUP("S6YD",A1:CV300,4,FALSE)/HLOOKUP("Mins",A1:CV300,4,FALSE)* 90)</f>
      </c>
      <c r="BE4" s="4971">
        <f>IF(HLOOKUP("Mins",A1:CV300,4,FALSE)=0,0,HLOOKUP("Headers",A1:CV300,4,FALSE)/HLOOKUP("Mins",A1:CV300,4,FALSE)* 90)</f>
      </c>
      <c r="BF4" s="4972">
        <f>IF(HLOOKUP("Mins",A1:CV300,4,FALSE)=0,0,HLOOKUP("SOT",A1:CV300,4,FALSE)/HLOOKUP("Mins",A1:CV300,4,FALSE)* 90)</f>
      </c>
      <c r="BG4" s="4973">
        <f>IF(HLOOKUP("Mins",A1:CV300,4,FALSE)=0,0,HLOOKUP("As",A1:CV300,4,FALSE)/HLOOKUP("Mins",A1:CV300,4,FALSE)* 90)</f>
      </c>
      <c r="BH4" s="4974">
        <f>IF(HLOOKUP("Mins",A1:CV300,4,FALSE)=0,0,HLOOKUP("FPL As",A1:CV300,4,FALSE)/HLOOKUP("Mins",A1:CV300,4,FALSE)* 90)</f>
      </c>
      <c r="BI4" s="4975">
        <f>IF(HLOOKUP("Mins",A1:CV300,4,FALSE)=0,0,HLOOKUP("BC Created",A1:CV300,4,FALSE)/HLOOKUP("Mins",A1:CV300,4,FALSE)* 90)</f>
      </c>
      <c r="BJ4" s="4976">
        <f>IF(HLOOKUP("Mins",A1:CV300,4,FALSE)=0,0,HLOOKUP("KP",A1:CV300,4,FALSE)/HLOOKUP("Mins",A1:CV300,4,FALSE)* 90)</f>
      </c>
      <c r="BK4" s="4977">
        <f>IF(HLOOKUP("Mins",A1:CV300,4,FALSE)=0,0,HLOOKUP("BC",A1:CV300,4,FALSE)/HLOOKUP("Mins",A1:CV300,4,FALSE)* 90)</f>
      </c>
      <c r="BL4" s="4978">
        <f>IF(HLOOKUP("Mins",A1:CV300,4,FALSE)=0,0,HLOOKUP("BC Miss",A1:CV300,4,FALSE)/HLOOKUP("Mins",A1:CV300,4,FALSE)* 90)</f>
      </c>
      <c r="BM4" s="4979">
        <f>IF(HLOOKUP("Mins",A1:CV300,4,FALSE)=0,0,HLOOKUP("Gs - BC",A1:CV300,4,FALSE)/HLOOKUP("Mins",A1:CV300,4,FALSE)* 90)</f>
      </c>
      <c r="BN4" s="4980">
        <f>IF(HLOOKUP("Mins",A1:CV300,4,FALSE)=0,0,HLOOKUP("GIB",A1:CV300,4,FALSE)/HLOOKUP("Mins",A1:CV300,4,FALSE)* 90)</f>
      </c>
      <c r="BO4" s="4981">
        <f>IF(HLOOKUP("Mins",A1:CV300,4,FALSE)=0,0,HLOOKUP("Gs - Open",A1:CV300,4,FALSE)/HLOOKUP("Mins",A1:CV300,4,FALSE)* 90)</f>
      </c>
      <c r="BP4" s="4982">
        <f>IF(HLOOKUP("Mins",A1:CV300,4,FALSE)=0,0,HLOOKUP("ICT Index",A1:CV300,4,FALSE)/HLOOKUP("Mins",A1:CV300,4,FALSE)* 90)</f>
      </c>
      <c r="BQ4" s="4983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4984">
        <f>0.0825*HLOOKUP("KP/90",A1:CV300,4,FALSE)</f>
      </c>
      <c r="BS4" s="4985">
        <f>6*HLOOKUP("xG/90",A1:CV300,4,FALSE)+3*HLOOKUP("xA/90",A1:CV300,4,FALSE)</f>
      </c>
      <c r="BT4" s="4986">
        <f>HLOOKUP("xPts/90",A1:CV300,4,FALSE)-(6*0.75*(HLOOKUP("PK Gs",A1:CV300,4,FALSE)+HLOOKUP("PK Miss",A1:CV300,4,FALSE))*90/HLOOKUP("Mins",A1:CV300,4,FALSE))</f>
      </c>
      <c r="BU4" s="4987">
        <f>IF(HLOOKUP("Mins",A1:CV300,4,FALSE)=0,0,HLOOKUP("fsXG",A1:CV300,4,FALSE)/HLOOKUP("Mins",A1:CV300,4,FALSE)* 90)</f>
      </c>
      <c r="BV4" s="4988">
        <f>IF(HLOOKUP("Mins",A1:CV300,4,FALSE)=0,0,HLOOKUP("fsXA",A1:CV300,4,FALSE)/HLOOKUP("Mins",A1:CV300,4,FALSE)* 90)</f>
      </c>
      <c r="BW4" s="4989">
        <f>6*HLOOKUP("fsXG/90",A1:CV300,4,FALSE)+3*HLOOKUP("fsXA/90",A1:CV300,4,FALSE)</f>
      </c>
      <c r="BX4" t="n" s="4990">
        <v>0.0</v>
      </c>
      <c r="BY4" t="n" s="4991">
        <v>0.0</v>
      </c>
      <c r="BZ4" s="4992">
        <f>6*HLOOKUP("uXG/90",A1:CV300,4,FALSE)+3*HLOOKUP("uXA/90",A1:CV300,4,FALSE)</f>
      </c>
    </row>
    <row r="5">
      <c r="A5" t="s" s="4993">
        <v>161</v>
      </c>
      <c r="B5" t="s" s="4994">
        <v>100</v>
      </c>
      <c r="C5" t="n" s="4995">
        <v>4.0</v>
      </c>
      <c r="D5" t="n" s="4996">
        <v>90.0</v>
      </c>
      <c r="E5" t="n" s="4997">
        <v>1.0</v>
      </c>
      <c r="F5" t="n" s="4998">
        <v>4.0</v>
      </c>
      <c r="G5" t="n" s="4999">
        <v>0.0</v>
      </c>
      <c r="H5" t="n" s="5000">
        <v>0.0</v>
      </c>
      <c r="I5" t="n" s="5001">
        <v>21.0</v>
      </c>
      <c r="J5" s="5002">
        <f>HLOOKUP("BPS",A1:CV300,5,FALSE)-((-6*HLOOKUP("OG",A1:CV300,5,FALSE))+(-6*HLOOKUP("PK Miss",A1:CV300,5,FALSE))+(9*HLOOKUP("FPL As",A1:CV300,5,FALSE))+(12*HLOOKUP("CS",A1:CV300,5,FALSE))+(12*HLOOKUP("Gs",A1:CV300,5,FALSE)))</f>
      </c>
      <c r="K5" t="n" s="5003">
        <v>0.0</v>
      </c>
      <c r="L5" t="n" s="5004">
        <v>0.0</v>
      </c>
      <c r="M5" t="n" s="5005">
        <v>0.0</v>
      </c>
      <c r="N5" t="n" s="5006">
        <v>0.0</v>
      </c>
      <c r="O5" t="n" s="5007">
        <v>0.0</v>
      </c>
      <c r="P5" s="5008">
        <f>IF(HLOOKUP("Shots",A1:CV300,5,FALSE)=0,0,HLOOKUP("SIB",A1:CV300,5,FALSE)/HLOOKUP("Shots",A1:CV300,5,FALSE))</f>
      </c>
      <c r="Q5" t="n" s="5009">
        <v>0.0</v>
      </c>
      <c r="R5" s="5010">
        <f>IF(HLOOKUP("Shots",A1:CV300,5,FALSE)=0,0,HLOOKUP("S6YD",A1:CV300,5,FALSE)/HLOOKUP("Shots",A1:CV300,5,FALSE))</f>
      </c>
      <c r="S5" t="n" s="5011">
        <v>0.0</v>
      </c>
      <c r="T5" s="5012">
        <f>IF(HLOOKUP("Shots",A1:CV300,5,FALSE)=0,0,HLOOKUP("Headers",A1:CV300,5,FALSE)/HLOOKUP("Shots",A1:CV300,5,FALSE))</f>
      </c>
      <c r="U5" t="n" s="5013">
        <v>0.0</v>
      </c>
      <c r="V5" s="5014">
        <f>IF(HLOOKUP("Shots",A1:CV300,5,FALSE)=0,0,HLOOKUP("SOT",A1:CV300,5,FALSE)/HLOOKUP("Shots",A1:CV300,5,FALSE))</f>
      </c>
      <c r="W5" s="5015">
        <f>IF(HLOOKUP("Shots",A1:CV300,5,FALSE)=0,0,HLOOKUP("Gs",A1:CV300,5,FALSE)/HLOOKUP("Shots",A1:CV300,5,FALSE))</f>
      </c>
      <c r="X5" t="n" s="5016">
        <v>0.0</v>
      </c>
      <c r="Y5" t="n" s="5017">
        <v>0.0</v>
      </c>
      <c r="Z5" t="n" s="5018">
        <v>0.0</v>
      </c>
      <c r="AA5" s="5019">
        <f>IF(HLOOKUP("KP",A1:CV300,5,FALSE)=0,0,HLOOKUP("As",A1:CV300,5,FALSE)/HLOOKUP("KP",A1:CV300,5,FALSE))</f>
      </c>
      <c r="AB5" t="n" s="5020">
        <v>2.5</v>
      </c>
      <c r="AC5" t="n" s="5021">
        <v>0.0</v>
      </c>
      <c r="AD5" t="n" s="5022">
        <v>0.0</v>
      </c>
      <c r="AE5" t="n" s="5023">
        <v>0.0</v>
      </c>
      <c r="AF5" t="n" s="5024">
        <v>0.0</v>
      </c>
      <c r="AG5" s="5025">
        <f>IF(HLOOKUP("BC",A1:CV300,5,FALSE)=0,0,HLOOKUP("Gs - BC",A1:CV300,5,FALSE)/HLOOKUP("BC",A1:CV300,5,FALSE))</f>
      </c>
      <c r="AH5" s="5026">
        <f>HLOOKUP("BC",A1:CV300,5,FALSE) - HLOOKUP("BC Miss",A1:CV300,5,FALSE)</f>
      </c>
      <c r="AI5" s="5027">
        <f>IF(HLOOKUP("Gs",A1:CV300,5,FALSE)=0,0,HLOOKUP("Gs - BC",A1:CV300,5,FALSE)/HLOOKUP("Gs",A1:CV300,5,FALSE))</f>
      </c>
      <c r="AJ5" t="n" s="5028">
        <v>0.0</v>
      </c>
      <c r="AK5" t="n" s="5029">
        <v>0.0</v>
      </c>
      <c r="AL5" s="5030">
        <f>HLOOKUP("BC",A1:CV300,5,FALSE) - (HLOOKUP("PK Gs",A1:CV300,5,FALSE) + HLOOKUP("PK Miss",A1:CV300,5,FALSE))</f>
      </c>
      <c r="AM5" s="5031">
        <f>HLOOKUP("BC Miss",A1:CV300,5,FALSE) - HLOOKUP("PK Miss",A1:CV300,5,FALSE)</f>
      </c>
      <c r="AN5" s="5032">
        <f>IF(HLOOKUP("BC - Open",A1:CV300,5,FALSE)=0,0,HLOOKUP("BC - Open Miss",A1:CV300,5,FALSE)/HLOOKUP("BC - Open",A1:CV300,5,FALSE))</f>
      </c>
      <c r="AO5" t="n" s="5033">
        <v>0.0</v>
      </c>
      <c r="AP5" s="5034">
        <f>IF(HLOOKUP("Gs",A1:CV300,5,FALSE)=0,0,HLOOKUP("GIB",A1:CV300,5,FALSE)/HLOOKUP("Gs",A1:CV300,5,FALSE))</f>
      </c>
      <c r="AQ5" t="n" s="5035">
        <v>0.0</v>
      </c>
      <c r="AR5" s="5036">
        <f>IF(HLOOKUP("Gs",A1:CV300,5,FALSE)=0,0,HLOOKUP("Gs - Open",A1:CV300,5,FALSE)/HLOOKUP("Gs",A1:CV300,5,FALSE))</f>
      </c>
      <c r="AS5" t="n" s="5037">
        <v>0.0</v>
      </c>
      <c r="AT5" t="n" s="5038">
        <v>0.0</v>
      </c>
      <c r="AU5" s="5039">
        <f>IF(HLOOKUP("Mins",A1:CV300,5,FALSE)=0,0,HLOOKUP("Pts",A1:CV300,5,FALSE)/HLOOKUP("Mins",A1:CV300,5,FALSE)* 90)</f>
      </c>
      <c r="AV5" s="5040">
        <f>IF(HLOOKUP("Apps",A1:CV300,5,FALSE)=0,0,HLOOKUP("Pts",A1:CV300,5,FALSE)/HLOOKUP("Apps",A1:CV300,5,FALSE)* 1)</f>
      </c>
      <c r="AW5" s="5041">
        <f>IF(HLOOKUP("Mins",A1:CV300,5,FALSE)=0,0,HLOOKUP("Gs",A1:CV300,5,FALSE)/HLOOKUP("Mins",A1:CV300,5,FALSE)* 90)</f>
      </c>
      <c r="AX5" s="5042">
        <f>IF(HLOOKUP("Mins",A1:CV300,5,FALSE)=0,0,HLOOKUP("Bonus",A1:CV300,5,FALSE)/HLOOKUP("Mins",A1:CV300,5,FALSE)* 90)</f>
      </c>
      <c r="AY5" s="5043">
        <f>IF(HLOOKUP("Mins",A1:CV300,5,FALSE)=0,0,HLOOKUP("BPS",A1:CV300,5,FALSE)/HLOOKUP("Mins",A1:CV300,5,FALSE)* 90)</f>
      </c>
      <c r="AZ5" s="5044">
        <f>IF(HLOOKUP("Mins",A1:CV300,5,FALSE)=0,0,HLOOKUP("Base BPS",A1:CV300,5,FALSE)/HLOOKUP("Mins",A1:CV300,5,FALSE)* 90)</f>
      </c>
      <c r="BA5" s="5045">
        <f>IF(HLOOKUP("Mins",A1:CV300,5,FALSE)=0,0,HLOOKUP("PenTchs",A1:CV300,5,FALSE)/HLOOKUP("Mins",A1:CV300,5,FALSE)* 90)</f>
      </c>
      <c r="BB5" s="5046">
        <f>IF(HLOOKUP("Mins",A1:CV300,5,FALSE)=0,0,HLOOKUP("Shots",A1:CV300,5,FALSE)/HLOOKUP("Mins",A1:CV300,5,FALSE)* 90)</f>
      </c>
      <c r="BC5" s="5047">
        <f>IF(HLOOKUP("Mins",A1:CV300,5,FALSE)=0,0,HLOOKUP("SIB",A1:CV300,5,FALSE)/HLOOKUP("Mins",A1:CV300,5,FALSE)* 90)</f>
      </c>
      <c r="BD5" s="5048">
        <f>IF(HLOOKUP("Mins",A1:CV300,5,FALSE)=0,0,HLOOKUP("S6YD",A1:CV300,5,FALSE)/HLOOKUP("Mins",A1:CV300,5,FALSE)* 90)</f>
      </c>
      <c r="BE5" s="5049">
        <f>IF(HLOOKUP("Mins",A1:CV300,5,FALSE)=0,0,HLOOKUP("Headers",A1:CV300,5,FALSE)/HLOOKUP("Mins",A1:CV300,5,FALSE)* 90)</f>
      </c>
      <c r="BF5" s="5050">
        <f>IF(HLOOKUP("Mins",A1:CV300,5,FALSE)=0,0,HLOOKUP("SOT",A1:CV300,5,FALSE)/HLOOKUP("Mins",A1:CV300,5,FALSE)* 90)</f>
      </c>
      <c r="BG5" s="5051">
        <f>IF(HLOOKUP("Mins",A1:CV300,5,FALSE)=0,0,HLOOKUP("As",A1:CV300,5,FALSE)/HLOOKUP("Mins",A1:CV300,5,FALSE)* 90)</f>
      </c>
      <c r="BH5" s="5052">
        <f>IF(HLOOKUP("Mins",A1:CV300,5,FALSE)=0,0,HLOOKUP("FPL As",A1:CV300,5,FALSE)/HLOOKUP("Mins",A1:CV300,5,FALSE)* 90)</f>
      </c>
      <c r="BI5" s="5053">
        <f>IF(HLOOKUP("Mins",A1:CV300,5,FALSE)=0,0,HLOOKUP("BC Created",A1:CV300,5,FALSE)/HLOOKUP("Mins",A1:CV300,5,FALSE)* 90)</f>
      </c>
      <c r="BJ5" s="5054">
        <f>IF(HLOOKUP("Mins",A1:CV300,5,FALSE)=0,0,HLOOKUP("KP",A1:CV300,5,FALSE)/HLOOKUP("Mins",A1:CV300,5,FALSE)* 90)</f>
      </c>
      <c r="BK5" s="5055">
        <f>IF(HLOOKUP("Mins",A1:CV300,5,FALSE)=0,0,HLOOKUP("BC",A1:CV300,5,FALSE)/HLOOKUP("Mins",A1:CV300,5,FALSE)* 90)</f>
      </c>
      <c r="BL5" s="5056">
        <f>IF(HLOOKUP("Mins",A1:CV300,5,FALSE)=0,0,HLOOKUP("BC Miss",A1:CV300,5,FALSE)/HLOOKUP("Mins",A1:CV300,5,FALSE)* 90)</f>
      </c>
      <c r="BM5" s="5057">
        <f>IF(HLOOKUP("Mins",A1:CV300,5,FALSE)=0,0,HLOOKUP("Gs - BC",A1:CV300,5,FALSE)/HLOOKUP("Mins",A1:CV300,5,FALSE)* 90)</f>
      </c>
      <c r="BN5" s="5058">
        <f>IF(HLOOKUP("Mins",A1:CV300,5,FALSE)=0,0,HLOOKUP("GIB",A1:CV300,5,FALSE)/HLOOKUP("Mins",A1:CV300,5,FALSE)* 90)</f>
      </c>
      <c r="BO5" s="5059">
        <f>IF(HLOOKUP("Mins",A1:CV300,5,FALSE)=0,0,HLOOKUP("Gs - Open",A1:CV300,5,FALSE)/HLOOKUP("Mins",A1:CV300,5,FALSE)* 90)</f>
      </c>
      <c r="BP5" s="5060">
        <f>IF(HLOOKUP("Mins",A1:CV300,5,FALSE)=0,0,HLOOKUP("ICT Index",A1:CV300,5,FALSE)/HLOOKUP("Mins",A1:CV300,5,FALSE)* 90)</f>
      </c>
      <c r="BQ5" s="5061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5062">
        <f>0.0825*HLOOKUP("KP/90",A1:CV300,5,FALSE)</f>
      </c>
      <c r="BS5" s="5063">
        <f>6*HLOOKUP("xG/90",A1:CV300,5,FALSE)+3*HLOOKUP("xA/90",A1:CV300,5,FALSE)</f>
      </c>
      <c r="BT5" s="5064">
        <f>HLOOKUP("xPts/90",A1:CV300,5,FALSE)-(6*0.75*(HLOOKUP("PK Gs",A1:CV300,5,FALSE)+HLOOKUP("PK Miss",A1:CV300,5,FALSE))*90/HLOOKUP("Mins",A1:CV300,5,FALSE))</f>
      </c>
      <c r="BU5" s="5065">
        <f>IF(HLOOKUP("Mins",A1:CV300,5,FALSE)=0,0,HLOOKUP("fsXG",A1:CV300,5,FALSE)/HLOOKUP("Mins",A1:CV300,5,FALSE)* 90)</f>
      </c>
      <c r="BV5" s="5066">
        <f>IF(HLOOKUP("Mins",A1:CV300,5,FALSE)=0,0,HLOOKUP("fsXA",A1:CV300,5,FALSE)/HLOOKUP("Mins",A1:CV300,5,FALSE)* 90)</f>
      </c>
      <c r="BW5" s="5067">
        <f>6*HLOOKUP("fsXG/90",A1:CV300,5,FALSE)+3*HLOOKUP("fsXA/90",A1:CV300,5,FALSE)</f>
      </c>
      <c r="BX5" t="n" s="5068">
        <v>0.0</v>
      </c>
      <c r="BY5" t="n" s="5069">
        <v>0.0</v>
      </c>
      <c r="BZ5" s="5070">
        <f>6*HLOOKUP("uXG/90",A1:CV300,5,FALSE)+3*HLOOKUP("uXA/90",A1:CV300,5,FALSE)</f>
      </c>
    </row>
    <row r="6">
      <c r="A6" t="s" s="5071">
        <v>162</v>
      </c>
      <c r="B6" t="s" s="5072">
        <v>96</v>
      </c>
      <c r="C6" t="n" s="5073">
        <v>5.099999904632568</v>
      </c>
      <c r="D6" t="n" s="5074">
        <v>540.0</v>
      </c>
      <c r="E6" t="n" s="5075">
        <v>6.0</v>
      </c>
      <c r="F6" t="n" s="5076">
        <v>73.0</v>
      </c>
      <c r="G6" t="n" s="5077">
        <v>0.0</v>
      </c>
      <c r="H6" t="n" s="5078">
        <v>9.0</v>
      </c>
      <c r="I6" t="n" s="5079">
        <v>378.0</v>
      </c>
      <c r="J6" s="5080">
        <f>HLOOKUP("BPS",A1:CV300,6,FALSE)-((-6*HLOOKUP("OG",A1:CV300,6,FALSE))+(-6*HLOOKUP("PK Miss",A1:CV300,6,FALSE))+(9*HLOOKUP("FPL As",A1:CV300,6,FALSE))+(12*HLOOKUP("CS",A1:CV300,6,FALSE))+(12*HLOOKUP("Gs",A1:CV300,6,FALSE)))</f>
      </c>
      <c r="K6" t="n" s="5081">
        <v>0.0</v>
      </c>
      <c r="L6" t="n" s="5082">
        <v>7.0</v>
      </c>
      <c r="M6" t="n" s="5083">
        <v>12.0</v>
      </c>
      <c r="N6" t="n" s="5084">
        <v>3.0</v>
      </c>
      <c r="O6" t="n" s="5085">
        <v>3.0</v>
      </c>
      <c r="P6" s="5086">
        <f>IF(HLOOKUP("Shots",A1:CV300,6,FALSE)=0,0,HLOOKUP("SIB",A1:CV300,6,FALSE)/HLOOKUP("Shots",A1:CV300,6,FALSE))</f>
      </c>
      <c r="Q6" t="n" s="5087">
        <v>1.0</v>
      </c>
      <c r="R6" s="5088">
        <f>IF(HLOOKUP("Shots",A1:CV300,6,FALSE)=0,0,HLOOKUP("S6YD",A1:CV300,6,FALSE)/HLOOKUP("Shots",A1:CV300,6,FALSE))</f>
      </c>
      <c r="S6" t="n" s="5089">
        <v>1.0</v>
      </c>
      <c r="T6" s="5090">
        <f>IF(HLOOKUP("Shots",A1:CV300,6,FALSE)=0,0,HLOOKUP("Headers",A1:CV300,6,FALSE)/HLOOKUP("Shots",A1:CV300,6,FALSE))</f>
      </c>
      <c r="U6" t="n" s="5091">
        <v>0.0</v>
      </c>
      <c r="V6" s="5092">
        <f>IF(HLOOKUP("Shots",A1:CV300,6,FALSE)=0,0,HLOOKUP("SOT",A1:CV300,6,FALSE)/HLOOKUP("Shots",A1:CV300,6,FALSE))</f>
      </c>
      <c r="W6" s="5093">
        <f>IF(HLOOKUP("Shots",A1:CV300,6,FALSE)=0,0,HLOOKUP("Gs",A1:CV300,6,FALSE)/HLOOKUP("Shots",A1:CV300,6,FALSE))</f>
      </c>
      <c r="X6" t="n" s="5094">
        <v>0.0</v>
      </c>
      <c r="Y6" t="n" s="5095">
        <v>2.0</v>
      </c>
      <c r="Z6" t="n" s="5096">
        <v>1.0</v>
      </c>
      <c r="AA6" s="5097">
        <f>IF(HLOOKUP("KP",A1:CV300,6,FALSE)=0,0,HLOOKUP("As",A1:CV300,6,FALSE)/HLOOKUP("KP",A1:CV300,6,FALSE))</f>
      </c>
      <c r="AB6" t="n" s="5098">
        <v>17.1</v>
      </c>
      <c r="AC6" t="n" s="5099">
        <v>0.0</v>
      </c>
      <c r="AD6" t="n" s="5100">
        <v>1.0</v>
      </c>
      <c r="AE6" t="n" s="5101">
        <v>0.0</v>
      </c>
      <c r="AF6" t="n" s="5102">
        <v>0.0</v>
      </c>
      <c r="AG6" s="5103">
        <f>IF(HLOOKUP("BC",A1:CV300,6,FALSE)=0,0,HLOOKUP("Gs - BC",A1:CV300,6,FALSE)/HLOOKUP("BC",A1:CV300,6,FALSE))</f>
      </c>
      <c r="AH6" s="5104">
        <f>HLOOKUP("BC",A1:CV300,6,FALSE) - HLOOKUP("BC Miss",A1:CV300,6,FALSE)</f>
      </c>
      <c r="AI6" s="5105">
        <f>IF(HLOOKUP("Gs",A1:CV300,6,FALSE)=0,0,HLOOKUP("Gs - BC",A1:CV300,6,FALSE)/HLOOKUP("Gs",A1:CV300,6,FALSE))</f>
      </c>
      <c r="AJ6" t="n" s="5106">
        <v>0.0</v>
      </c>
      <c r="AK6" t="n" s="5107">
        <v>0.0</v>
      </c>
      <c r="AL6" s="5108">
        <f>HLOOKUP("BC",A1:CV300,6,FALSE) - (HLOOKUP("PK Gs",A1:CV300,6,FALSE) + HLOOKUP("PK Miss",A1:CV300,6,FALSE))</f>
      </c>
      <c r="AM6" s="5109">
        <f>HLOOKUP("BC Miss",A1:CV300,6,FALSE) - HLOOKUP("PK Miss",A1:CV300,6,FALSE)</f>
      </c>
      <c r="AN6" s="5110">
        <f>IF(HLOOKUP("BC - Open",A1:CV300,6,FALSE)=0,0,HLOOKUP("BC - Open Miss",A1:CV300,6,FALSE)/HLOOKUP("BC - Open",A1:CV300,6,FALSE))</f>
      </c>
      <c r="AO6" t="n" s="5111">
        <v>0.0</v>
      </c>
      <c r="AP6" s="5112">
        <f>IF(HLOOKUP("Gs",A1:CV300,6,FALSE)=0,0,HLOOKUP("GIB",A1:CV300,6,FALSE)/HLOOKUP("Gs",A1:CV300,6,FALSE))</f>
      </c>
      <c r="AQ6" t="n" s="5113">
        <v>0.0</v>
      </c>
      <c r="AR6" s="5114">
        <f>IF(HLOOKUP("Gs",A1:CV300,6,FALSE)=0,0,HLOOKUP("Gs - Open",A1:CV300,6,FALSE)/HLOOKUP("Gs",A1:CV300,6,FALSE))</f>
      </c>
      <c r="AS6" t="n" s="5115">
        <v>0.28</v>
      </c>
      <c r="AT6" t="n" s="5116">
        <v>0.13</v>
      </c>
      <c r="AU6" s="5117">
        <f>IF(HLOOKUP("Mins",A1:CV300,6,FALSE)=0,0,HLOOKUP("Pts",A1:CV300,6,FALSE)/HLOOKUP("Mins",A1:CV300,6,FALSE)* 90)</f>
      </c>
      <c r="AV6" s="5118">
        <f>IF(HLOOKUP("Apps",A1:CV300,6,FALSE)=0,0,HLOOKUP("Pts",A1:CV300,6,FALSE)/HLOOKUP("Apps",A1:CV300,6,FALSE)* 1)</f>
      </c>
      <c r="AW6" s="5119">
        <f>IF(HLOOKUP("Mins",A1:CV300,6,FALSE)=0,0,HLOOKUP("Gs",A1:CV300,6,FALSE)/HLOOKUP("Mins",A1:CV300,6,FALSE)* 90)</f>
      </c>
      <c r="AX6" s="5120">
        <f>IF(HLOOKUP("Mins",A1:CV300,6,FALSE)=0,0,HLOOKUP("Bonus",A1:CV300,6,FALSE)/HLOOKUP("Mins",A1:CV300,6,FALSE)* 90)</f>
      </c>
      <c r="AY6" s="5121">
        <f>IF(HLOOKUP("Mins",A1:CV300,6,FALSE)=0,0,HLOOKUP("BPS",A1:CV300,6,FALSE)/HLOOKUP("Mins",A1:CV300,6,FALSE)* 90)</f>
      </c>
      <c r="AZ6" s="5122">
        <f>IF(HLOOKUP("Mins",A1:CV300,6,FALSE)=0,0,HLOOKUP("Base BPS",A1:CV300,6,FALSE)/HLOOKUP("Mins",A1:CV300,6,FALSE)* 90)</f>
      </c>
      <c r="BA6" s="5123">
        <f>IF(HLOOKUP("Mins",A1:CV300,6,FALSE)=0,0,HLOOKUP("PenTchs",A1:CV300,6,FALSE)/HLOOKUP("Mins",A1:CV300,6,FALSE)* 90)</f>
      </c>
      <c r="BB6" s="5124">
        <f>IF(HLOOKUP("Mins",A1:CV300,6,FALSE)=0,0,HLOOKUP("Shots",A1:CV300,6,FALSE)/HLOOKUP("Mins",A1:CV300,6,FALSE)* 90)</f>
      </c>
      <c r="BC6" s="5125">
        <f>IF(HLOOKUP("Mins",A1:CV300,6,FALSE)=0,0,HLOOKUP("SIB",A1:CV300,6,FALSE)/HLOOKUP("Mins",A1:CV300,6,FALSE)* 90)</f>
      </c>
      <c r="BD6" s="5126">
        <f>IF(HLOOKUP("Mins",A1:CV300,6,FALSE)=0,0,HLOOKUP("S6YD",A1:CV300,6,FALSE)/HLOOKUP("Mins",A1:CV300,6,FALSE)* 90)</f>
      </c>
      <c r="BE6" s="5127">
        <f>IF(HLOOKUP("Mins",A1:CV300,6,FALSE)=0,0,HLOOKUP("Headers",A1:CV300,6,FALSE)/HLOOKUP("Mins",A1:CV300,6,FALSE)* 90)</f>
      </c>
      <c r="BF6" s="5128">
        <f>IF(HLOOKUP("Mins",A1:CV300,6,FALSE)=0,0,HLOOKUP("SOT",A1:CV300,6,FALSE)/HLOOKUP("Mins",A1:CV300,6,FALSE)* 90)</f>
      </c>
      <c r="BG6" s="5129">
        <f>IF(HLOOKUP("Mins",A1:CV300,6,FALSE)=0,0,HLOOKUP("As",A1:CV300,6,FALSE)/HLOOKUP("Mins",A1:CV300,6,FALSE)* 90)</f>
      </c>
      <c r="BH6" s="5130">
        <f>IF(HLOOKUP("Mins",A1:CV300,6,FALSE)=0,0,HLOOKUP("FPL As",A1:CV300,6,FALSE)/HLOOKUP("Mins",A1:CV300,6,FALSE)* 90)</f>
      </c>
      <c r="BI6" s="5131">
        <f>IF(HLOOKUP("Mins",A1:CV300,6,FALSE)=0,0,HLOOKUP("BC Created",A1:CV300,6,FALSE)/HLOOKUP("Mins",A1:CV300,6,FALSE)* 90)</f>
      </c>
      <c r="BJ6" s="5132">
        <f>IF(HLOOKUP("Mins",A1:CV300,6,FALSE)=0,0,HLOOKUP("KP",A1:CV300,6,FALSE)/HLOOKUP("Mins",A1:CV300,6,FALSE)* 90)</f>
      </c>
      <c r="BK6" s="5133">
        <f>IF(HLOOKUP("Mins",A1:CV300,6,FALSE)=0,0,HLOOKUP("BC",A1:CV300,6,FALSE)/HLOOKUP("Mins",A1:CV300,6,FALSE)* 90)</f>
      </c>
      <c r="BL6" s="5134">
        <f>IF(HLOOKUP("Mins",A1:CV300,6,FALSE)=0,0,HLOOKUP("BC Miss",A1:CV300,6,FALSE)/HLOOKUP("Mins",A1:CV300,6,FALSE)* 90)</f>
      </c>
      <c r="BM6" s="5135">
        <f>IF(HLOOKUP("Mins",A1:CV300,6,FALSE)=0,0,HLOOKUP("Gs - BC",A1:CV300,6,FALSE)/HLOOKUP("Mins",A1:CV300,6,FALSE)* 90)</f>
      </c>
      <c r="BN6" s="5136">
        <f>IF(HLOOKUP("Mins",A1:CV300,6,FALSE)=0,0,HLOOKUP("GIB",A1:CV300,6,FALSE)/HLOOKUP("Mins",A1:CV300,6,FALSE)* 90)</f>
      </c>
      <c r="BO6" s="5137">
        <f>IF(HLOOKUP("Mins",A1:CV300,6,FALSE)=0,0,HLOOKUP("Gs - Open",A1:CV300,6,FALSE)/HLOOKUP("Mins",A1:CV300,6,FALSE)* 90)</f>
      </c>
      <c r="BP6" s="5138">
        <f>IF(HLOOKUP("Mins",A1:CV300,6,FALSE)=0,0,HLOOKUP("ICT Index",A1:CV300,6,FALSE)/HLOOKUP("Mins",A1:CV300,6,FALSE)* 90)</f>
      </c>
      <c r="BQ6" s="5139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5140">
        <f>0.0825*HLOOKUP("KP/90",A1:CV300,6,FALSE)</f>
      </c>
      <c r="BS6" s="5141">
        <f>6*HLOOKUP("xG/90",A1:CV300,6,FALSE)+3*HLOOKUP("xA/90",A1:CV300,6,FALSE)</f>
      </c>
      <c r="BT6" s="5142">
        <f>HLOOKUP("xPts/90",A1:CV300,6,FALSE)-(6*0.75*(HLOOKUP("PK Gs",A1:CV300,6,FALSE)+HLOOKUP("PK Miss",A1:CV300,6,FALSE))*90/HLOOKUP("Mins",A1:CV300,6,FALSE))</f>
      </c>
      <c r="BU6" s="5143">
        <f>IF(HLOOKUP("Mins",A1:CV300,6,FALSE)=0,0,HLOOKUP("fsXG",A1:CV300,6,FALSE)/HLOOKUP("Mins",A1:CV300,6,FALSE)* 90)</f>
      </c>
      <c r="BV6" s="5144">
        <f>IF(HLOOKUP("Mins",A1:CV300,6,FALSE)=0,0,HLOOKUP("fsXA",A1:CV300,6,FALSE)/HLOOKUP("Mins",A1:CV300,6,FALSE)* 90)</f>
      </c>
      <c r="BW6" s="5145">
        <f>6*HLOOKUP("fsXG/90",A1:CV300,6,FALSE)+3*HLOOKUP("fsXA/90",A1:CV300,6,FALSE)</f>
      </c>
      <c r="BX6" t="n" s="5146">
        <v>0.029276693239808083</v>
      </c>
      <c r="BY6" t="n" s="5147">
        <v>0.13533100485801697</v>
      </c>
      <c r="BZ6" s="5148">
        <f>6*HLOOKUP("uXG/90",A1:CV300,6,FALSE)+3*HLOOKUP("uXA/90",A1:CV300,6,FALSE)</f>
      </c>
    </row>
    <row r="7">
      <c r="A7" t="s" s="5149">
        <v>163</v>
      </c>
      <c r="B7" t="s" s="5150">
        <v>144</v>
      </c>
      <c r="C7" t="n" s="5151">
        <v>5.400000095367432</v>
      </c>
      <c r="D7" t="n" s="5152">
        <v>361.0</v>
      </c>
      <c r="E7" t="n" s="5153">
        <v>5.0</v>
      </c>
      <c r="F7" t="n" s="5154">
        <v>18.0</v>
      </c>
      <c r="G7" t="n" s="5155">
        <v>0.0</v>
      </c>
      <c r="H7" t="n" s="5156">
        <v>0.0</v>
      </c>
      <c r="I7" t="n" s="5157">
        <v>116.0</v>
      </c>
      <c r="J7" s="5158">
        <f>HLOOKUP("BPS",A1:CV300,7,FALSE)-((-6*HLOOKUP("OG",A1:CV300,7,FALSE))+(-6*HLOOKUP("PK Miss",A1:CV300,7,FALSE))+(9*HLOOKUP("FPL As",A1:CV300,7,FALSE))+(12*HLOOKUP("CS",A1:CV300,7,FALSE))+(12*HLOOKUP("Gs",A1:CV300,7,FALSE)))</f>
      </c>
      <c r="K7" t="n" s="5159">
        <v>0.0</v>
      </c>
      <c r="L7" t="n" s="5160">
        <v>1.0</v>
      </c>
      <c r="M7" t="n" s="5161">
        <v>7.0</v>
      </c>
      <c r="N7" t="n" s="5162">
        <v>4.0</v>
      </c>
      <c r="O7" t="n" s="5163">
        <v>2.0</v>
      </c>
      <c r="P7" s="5164">
        <f>IF(HLOOKUP("Shots",A1:CV300,7,FALSE)=0,0,HLOOKUP("SIB",A1:CV300,7,FALSE)/HLOOKUP("Shots",A1:CV300,7,FALSE))</f>
      </c>
      <c r="Q7" t="n" s="5165">
        <v>0.0</v>
      </c>
      <c r="R7" s="5166">
        <f>IF(HLOOKUP("Shots",A1:CV300,7,FALSE)=0,0,HLOOKUP("S6YD",A1:CV300,7,FALSE)/HLOOKUP("Shots",A1:CV300,7,FALSE))</f>
      </c>
      <c r="S7" t="n" s="5167">
        <v>0.0</v>
      </c>
      <c r="T7" s="5168">
        <f>IF(HLOOKUP("Shots",A1:CV300,7,FALSE)=0,0,HLOOKUP("Headers",A1:CV300,7,FALSE)/HLOOKUP("Shots",A1:CV300,7,FALSE))</f>
      </c>
      <c r="U7" t="n" s="5169">
        <v>3.0</v>
      </c>
      <c r="V7" s="5170">
        <f>IF(HLOOKUP("Shots",A1:CV300,7,FALSE)=0,0,HLOOKUP("SOT",A1:CV300,7,FALSE)/HLOOKUP("Shots",A1:CV300,7,FALSE))</f>
      </c>
      <c r="W7" s="5171">
        <f>IF(HLOOKUP("Shots",A1:CV300,7,FALSE)=0,0,HLOOKUP("Gs",A1:CV300,7,FALSE)/HLOOKUP("Shots",A1:CV300,7,FALSE))</f>
      </c>
      <c r="X7" t="n" s="5172">
        <v>0.0</v>
      </c>
      <c r="Y7" t="n" s="5173">
        <v>0.0</v>
      </c>
      <c r="Z7" t="n" s="5174">
        <v>2.0</v>
      </c>
      <c r="AA7" s="5175">
        <f>IF(HLOOKUP("KP",A1:CV300,7,FALSE)=0,0,HLOOKUP("As",A1:CV300,7,FALSE)/HLOOKUP("KP",A1:CV300,7,FALSE))</f>
      </c>
      <c r="AB7" t="n" s="5176">
        <v>19.1</v>
      </c>
      <c r="AC7" t="n" s="5177">
        <v>0.0</v>
      </c>
      <c r="AD7" t="n" s="5178">
        <v>0.0</v>
      </c>
      <c r="AE7" t="n" s="5179">
        <v>0.0</v>
      </c>
      <c r="AF7" t="n" s="5180">
        <v>0.0</v>
      </c>
      <c r="AG7" s="5181">
        <f>IF(HLOOKUP("BC",A1:CV300,7,FALSE)=0,0,HLOOKUP("Gs - BC",A1:CV300,7,FALSE)/HLOOKUP("BC",A1:CV300,7,FALSE))</f>
      </c>
      <c r="AH7" s="5182">
        <f>HLOOKUP("BC",A1:CV300,7,FALSE) - HLOOKUP("BC Miss",A1:CV300,7,FALSE)</f>
      </c>
      <c r="AI7" s="5183">
        <f>IF(HLOOKUP("Gs",A1:CV300,7,FALSE)=0,0,HLOOKUP("Gs - BC",A1:CV300,7,FALSE)/HLOOKUP("Gs",A1:CV300,7,FALSE))</f>
      </c>
      <c r="AJ7" t="n" s="5184">
        <v>0.0</v>
      </c>
      <c r="AK7" t="n" s="5185">
        <v>0.0</v>
      </c>
      <c r="AL7" s="5186">
        <f>HLOOKUP("BC",A1:CV300,7,FALSE) - (HLOOKUP("PK Gs",A1:CV300,7,FALSE) + HLOOKUP("PK Miss",A1:CV300,7,FALSE))</f>
      </c>
      <c r="AM7" s="5187">
        <f>HLOOKUP("BC Miss",A1:CV300,7,FALSE) - HLOOKUP("PK Miss",A1:CV300,7,FALSE)</f>
      </c>
      <c r="AN7" s="5188">
        <f>IF(HLOOKUP("BC - Open",A1:CV300,7,FALSE)=0,0,HLOOKUP("BC - Open Miss",A1:CV300,7,FALSE)/HLOOKUP("BC - Open",A1:CV300,7,FALSE))</f>
      </c>
      <c r="AO7" t="n" s="5189">
        <v>0.0</v>
      </c>
      <c r="AP7" s="5190">
        <f>IF(HLOOKUP("Gs",A1:CV300,7,FALSE)=0,0,HLOOKUP("GIB",A1:CV300,7,FALSE)/HLOOKUP("Gs",A1:CV300,7,FALSE))</f>
      </c>
      <c r="AQ7" t="n" s="5191">
        <v>0.0</v>
      </c>
      <c r="AR7" s="5192">
        <f>IF(HLOOKUP("Gs",A1:CV300,7,FALSE)=0,0,HLOOKUP("Gs - Open",A1:CV300,7,FALSE)/HLOOKUP("Gs",A1:CV300,7,FALSE))</f>
      </c>
      <c r="AS7" t="n" s="5193">
        <v>0.14</v>
      </c>
      <c r="AT7" t="n" s="5194">
        <v>0.18</v>
      </c>
      <c r="AU7" s="5195">
        <f>IF(HLOOKUP("Mins",A1:CV300,7,FALSE)=0,0,HLOOKUP("Pts",A1:CV300,7,FALSE)/HLOOKUP("Mins",A1:CV300,7,FALSE)* 90)</f>
      </c>
      <c r="AV7" s="5196">
        <f>IF(HLOOKUP("Apps",A1:CV300,7,FALSE)=0,0,HLOOKUP("Pts",A1:CV300,7,FALSE)/HLOOKUP("Apps",A1:CV300,7,FALSE)* 1)</f>
      </c>
      <c r="AW7" s="5197">
        <f>IF(HLOOKUP("Mins",A1:CV300,7,FALSE)=0,0,HLOOKUP("Gs",A1:CV300,7,FALSE)/HLOOKUP("Mins",A1:CV300,7,FALSE)* 90)</f>
      </c>
      <c r="AX7" s="5198">
        <f>IF(HLOOKUP("Mins",A1:CV300,7,FALSE)=0,0,HLOOKUP("Bonus",A1:CV300,7,FALSE)/HLOOKUP("Mins",A1:CV300,7,FALSE)* 90)</f>
      </c>
      <c r="AY7" s="5199">
        <f>IF(HLOOKUP("Mins",A1:CV300,7,FALSE)=0,0,HLOOKUP("BPS",A1:CV300,7,FALSE)/HLOOKUP("Mins",A1:CV300,7,FALSE)* 90)</f>
      </c>
      <c r="AZ7" s="5200">
        <f>IF(HLOOKUP("Mins",A1:CV300,7,FALSE)=0,0,HLOOKUP("Base BPS",A1:CV300,7,FALSE)/HLOOKUP("Mins",A1:CV300,7,FALSE)* 90)</f>
      </c>
      <c r="BA7" s="5201">
        <f>IF(HLOOKUP("Mins",A1:CV300,7,FALSE)=0,0,HLOOKUP("PenTchs",A1:CV300,7,FALSE)/HLOOKUP("Mins",A1:CV300,7,FALSE)* 90)</f>
      </c>
      <c r="BB7" s="5202">
        <f>IF(HLOOKUP("Mins",A1:CV300,7,FALSE)=0,0,HLOOKUP("Shots",A1:CV300,7,FALSE)/HLOOKUP("Mins",A1:CV300,7,FALSE)* 90)</f>
      </c>
      <c r="BC7" s="5203">
        <f>IF(HLOOKUP("Mins",A1:CV300,7,FALSE)=0,0,HLOOKUP("SIB",A1:CV300,7,FALSE)/HLOOKUP("Mins",A1:CV300,7,FALSE)* 90)</f>
      </c>
      <c r="BD7" s="5204">
        <f>IF(HLOOKUP("Mins",A1:CV300,7,FALSE)=0,0,HLOOKUP("S6YD",A1:CV300,7,FALSE)/HLOOKUP("Mins",A1:CV300,7,FALSE)* 90)</f>
      </c>
      <c r="BE7" s="5205">
        <f>IF(HLOOKUP("Mins",A1:CV300,7,FALSE)=0,0,HLOOKUP("Headers",A1:CV300,7,FALSE)/HLOOKUP("Mins",A1:CV300,7,FALSE)* 90)</f>
      </c>
      <c r="BF7" s="5206">
        <f>IF(HLOOKUP("Mins",A1:CV300,7,FALSE)=0,0,HLOOKUP("SOT",A1:CV300,7,FALSE)/HLOOKUP("Mins",A1:CV300,7,FALSE)* 90)</f>
      </c>
      <c r="BG7" s="5207">
        <f>IF(HLOOKUP("Mins",A1:CV300,7,FALSE)=0,0,HLOOKUP("As",A1:CV300,7,FALSE)/HLOOKUP("Mins",A1:CV300,7,FALSE)* 90)</f>
      </c>
      <c r="BH7" s="5208">
        <f>IF(HLOOKUP("Mins",A1:CV300,7,FALSE)=0,0,HLOOKUP("FPL As",A1:CV300,7,FALSE)/HLOOKUP("Mins",A1:CV300,7,FALSE)* 90)</f>
      </c>
      <c r="BI7" s="5209">
        <f>IF(HLOOKUP("Mins",A1:CV300,7,FALSE)=0,0,HLOOKUP("BC Created",A1:CV300,7,FALSE)/HLOOKUP("Mins",A1:CV300,7,FALSE)* 90)</f>
      </c>
      <c r="BJ7" s="5210">
        <f>IF(HLOOKUP("Mins",A1:CV300,7,FALSE)=0,0,HLOOKUP("KP",A1:CV300,7,FALSE)/HLOOKUP("Mins",A1:CV300,7,FALSE)* 90)</f>
      </c>
      <c r="BK7" s="5211">
        <f>IF(HLOOKUP("Mins",A1:CV300,7,FALSE)=0,0,HLOOKUP("BC",A1:CV300,7,FALSE)/HLOOKUP("Mins",A1:CV300,7,FALSE)* 90)</f>
      </c>
      <c r="BL7" s="5212">
        <f>IF(HLOOKUP("Mins",A1:CV300,7,FALSE)=0,0,HLOOKUP("BC Miss",A1:CV300,7,FALSE)/HLOOKUP("Mins",A1:CV300,7,FALSE)* 90)</f>
      </c>
      <c r="BM7" s="5213">
        <f>IF(HLOOKUP("Mins",A1:CV300,7,FALSE)=0,0,HLOOKUP("Gs - BC",A1:CV300,7,FALSE)/HLOOKUP("Mins",A1:CV300,7,FALSE)* 90)</f>
      </c>
      <c r="BN7" s="5214">
        <f>IF(HLOOKUP("Mins",A1:CV300,7,FALSE)=0,0,HLOOKUP("GIB",A1:CV300,7,FALSE)/HLOOKUP("Mins",A1:CV300,7,FALSE)* 90)</f>
      </c>
      <c r="BO7" s="5215">
        <f>IF(HLOOKUP("Mins",A1:CV300,7,FALSE)=0,0,HLOOKUP("Gs - Open",A1:CV300,7,FALSE)/HLOOKUP("Mins",A1:CV300,7,FALSE)* 90)</f>
      </c>
      <c r="BP7" s="5216">
        <f>IF(HLOOKUP("Mins",A1:CV300,7,FALSE)=0,0,HLOOKUP("ICT Index",A1:CV300,7,FALSE)/HLOOKUP("Mins",A1:CV300,7,FALSE)* 90)</f>
      </c>
      <c r="BQ7" s="5217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5218">
        <f>0.0825*HLOOKUP("KP/90",A1:CV300,7,FALSE)</f>
      </c>
      <c r="BS7" s="5219">
        <f>6*HLOOKUP("xG/90",A1:CV300,7,FALSE)+3*HLOOKUP("xA/90",A1:CV300,7,FALSE)</f>
      </c>
      <c r="BT7" s="5220">
        <f>HLOOKUP("xPts/90",A1:CV300,7,FALSE)-(6*0.75*(HLOOKUP("PK Gs",A1:CV300,7,FALSE)+HLOOKUP("PK Miss",A1:CV300,7,FALSE))*90/HLOOKUP("Mins",A1:CV300,7,FALSE))</f>
      </c>
      <c r="BU7" s="5221">
        <f>IF(HLOOKUP("Mins",A1:CV300,7,FALSE)=0,0,HLOOKUP("fsXG",A1:CV300,7,FALSE)/HLOOKUP("Mins",A1:CV300,7,FALSE)* 90)</f>
      </c>
      <c r="BV7" s="5222">
        <f>IF(HLOOKUP("Mins",A1:CV300,7,FALSE)=0,0,HLOOKUP("fsXA",A1:CV300,7,FALSE)/HLOOKUP("Mins",A1:CV300,7,FALSE)* 90)</f>
      </c>
      <c r="BW7" s="5223">
        <f>6*HLOOKUP("fsXG/90",A1:CV300,7,FALSE)+3*HLOOKUP("fsXA/90",A1:CV300,7,FALSE)</f>
      </c>
      <c r="BX7" t="n" s="5224">
        <v>0.04340869560837746</v>
      </c>
      <c r="BY7" t="n" s="5225">
        <v>0.013969602063298225</v>
      </c>
      <c r="BZ7" s="5226">
        <f>6*HLOOKUP("uXG/90",A1:CV300,7,FALSE)+3*HLOOKUP("uXA/90",A1:CV300,7,FALSE)</f>
      </c>
    </row>
    <row r="8">
      <c r="A8" t="s" s="5227">
        <v>164</v>
      </c>
      <c r="B8" t="s" s="5228">
        <v>96</v>
      </c>
      <c r="C8" t="n" s="5229">
        <v>4.300000190734863</v>
      </c>
      <c r="D8" t="n" s="5230">
        <v>90.0</v>
      </c>
      <c r="E8" t="n" s="5231">
        <v>1.0</v>
      </c>
      <c r="F8" t="n" s="5232">
        <v>42.0</v>
      </c>
      <c r="G8" t="n" s="5233">
        <v>0.0</v>
      </c>
      <c r="H8" t="n" s="5234">
        <v>7.0</v>
      </c>
      <c r="I8" t="n" s="5235">
        <v>226.0</v>
      </c>
      <c r="J8" s="5236">
        <f>HLOOKUP("BPS",A1:CV300,8,FALSE)-((-6*HLOOKUP("OG",A1:CV300,8,FALSE))+(-6*HLOOKUP("PK Miss",A1:CV300,8,FALSE))+(9*HLOOKUP("FPL As",A1:CV300,8,FALSE))+(12*HLOOKUP("CS",A1:CV300,8,FALSE))+(12*HLOOKUP("Gs",A1:CV300,8,FALSE)))</f>
      </c>
      <c r="K8" t="n" s="5237">
        <v>0.0</v>
      </c>
      <c r="L8" t="n" s="5238">
        <v>3.0</v>
      </c>
      <c r="M8" t="n" s="5239">
        <v>0.0</v>
      </c>
      <c r="N8" t="n" s="5240">
        <v>0.0</v>
      </c>
      <c r="O8" t="n" s="5241">
        <v>0.0</v>
      </c>
      <c r="P8" s="5242">
        <f>IF(HLOOKUP("Shots",A1:CV300,8,FALSE)=0,0,HLOOKUP("SIB",A1:CV300,8,FALSE)/HLOOKUP("Shots",A1:CV300,8,FALSE))</f>
      </c>
      <c r="Q8" t="n" s="5243">
        <v>0.0</v>
      </c>
      <c r="R8" s="5244">
        <f>IF(HLOOKUP("Shots",A1:CV300,8,FALSE)=0,0,HLOOKUP("S6YD",A1:CV300,8,FALSE)/HLOOKUP("Shots",A1:CV300,8,FALSE))</f>
      </c>
      <c r="S8" t="n" s="5245">
        <v>0.0</v>
      </c>
      <c r="T8" s="5246">
        <f>IF(HLOOKUP("Shots",A1:CV300,8,FALSE)=0,0,HLOOKUP("Headers",A1:CV300,8,FALSE)/HLOOKUP("Shots",A1:CV300,8,FALSE))</f>
      </c>
      <c r="U8" t="n" s="5247">
        <v>0.0</v>
      </c>
      <c r="V8" s="5248">
        <f>IF(HLOOKUP("Shots",A1:CV300,8,FALSE)=0,0,HLOOKUP("SOT",A1:CV300,8,FALSE)/HLOOKUP("Shots",A1:CV300,8,FALSE))</f>
      </c>
      <c r="W8" s="5249">
        <f>IF(HLOOKUP("Shots",A1:CV300,8,FALSE)=0,0,HLOOKUP("Gs",A1:CV300,8,FALSE)/HLOOKUP("Shots",A1:CV300,8,FALSE))</f>
      </c>
      <c r="X8" t="n" s="5250">
        <v>0.0</v>
      </c>
      <c r="Y8" t="n" s="5251">
        <v>3.0</v>
      </c>
      <c r="Z8" t="n" s="5252">
        <v>0.0</v>
      </c>
      <c r="AA8" s="5253">
        <f>IF(HLOOKUP("KP",A1:CV300,8,FALSE)=0,0,HLOOKUP("As",A1:CV300,8,FALSE)/HLOOKUP("KP",A1:CV300,8,FALSE))</f>
      </c>
      <c r="AB8" t="n" s="5254">
        <v>1.1</v>
      </c>
      <c r="AC8" t="n" s="5255">
        <v>0.0</v>
      </c>
      <c r="AD8" t="n" s="5256">
        <v>0.0</v>
      </c>
      <c r="AE8" t="n" s="5257">
        <v>0.0</v>
      </c>
      <c r="AF8" t="n" s="5258">
        <v>0.0</v>
      </c>
      <c r="AG8" s="5259">
        <f>IF(HLOOKUP("BC",A1:CV300,8,FALSE)=0,0,HLOOKUP("Gs - BC",A1:CV300,8,FALSE)/HLOOKUP("BC",A1:CV300,8,FALSE))</f>
      </c>
      <c r="AH8" s="5260">
        <f>HLOOKUP("BC",A1:CV300,8,FALSE) - HLOOKUP("BC Miss",A1:CV300,8,FALSE)</f>
      </c>
      <c r="AI8" s="5261">
        <f>IF(HLOOKUP("Gs",A1:CV300,8,FALSE)=0,0,HLOOKUP("Gs - BC",A1:CV300,8,FALSE)/HLOOKUP("Gs",A1:CV300,8,FALSE))</f>
      </c>
      <c r="AJ8" t="n" s="5262">
        <v>0.0</v>
      </c>
      <c r="AK8" t="n" s="5263">
        <v>0.0</v>
      </c>
      <c r="AL8" s="5264">
        <f>HLOOKUP("BC",A1:CV300,8,FALSE) - (HLOOKUP("PK Gs",A1:CV300,8,FALSE) + HLOOKUP("PK Miss",A1:CV300,8,FALSE))</f>
      </c>
      <c r="AM8" s="5265">
        <f>HLOOKUP("BC Miss",A1:CV300,8,FALSE) - HLOOKUP("PK Miss",A1:CV300,8,FALSE)</f>
      </c>
      <c r="AN8" s="5266">
        <f>IF(HLOOKUP("BC - Open",A1:CV300,8,FALSE)=0,0,HLOOKUP("BC - Open Miss",A1:CV300,8,FALSE)/HLOOKUP("BC - Open",A1:CV300,8,FALSE))</f>
      </c>
      <c r="AO8" t="n" s="5267">
        <v>0.0</v>
      </c>
      <c r="AP8" s="5268">
        <f>IF(HLOOKUP("Gs",A1:CV300,8,FALSE)=0,0,HLOOKUP("GIB",A1:CV300,8,FALSE)/HLOOKUP("Gs",A1:CV300,8,FALSE))</f>
      </c>
      <c r="AQ8" t="n" s="5269">
        <v>0.0</v>
      </c>
      <c r="AR8" s="5270">
        <f>IF(HLOOKUP("Gs",A1:CV300,8,FALSE)=0,0,HLOOKUP("Gs - Open",A1:CV300,8,FALSE)/HLOOKUP("Gs",A1:CV300,8,FALSE))</f>
      </c>
      <c r="AS8" t="n" s="5271">
        <v>0.0</v>
      </c>
      <c r="AT8" t="n" s="5272">
        <v>0.01</v>
      </c>
      <c r="AU8" s="5273">
        <f>IF(HLOOKUP("Mins",A1:CV300,8,FALSE)=0,0,HLOOKUP("Pts",A1:CV300,8,FALSE)/HLOOKUP("Mins",A1:CV300,8,FALSE)* 90)</f>
      </c>
      <c r="AV8" s="5274">
        <f>IF(HLOOKUP("Apps",A1:CV300,8,FALSE)=0,0,HLOOKUP("Pts",A1:CV300,8,FALSE)/HLOOKUP("Apps",A1:CV300,8,FALSE)* 1)</f>
      </c>
      <c r="AW8" s="5275">
        <f>IF(HLOOKUP("Mins",A1:CV300,8,FALSE)=0,0,HLOOKUP("Gs",A1:CV300,8,FALSE)/HLOOKUP("Mins",A1:CV300,8,FALSE)* 90)</f>
      </c>
      <c r="AX8" s="5276">
        <f>IF(HLOOKUP("Mins",A1:CV300,8,FALSE)=0,0,HLOOKUP("Bonus",A1:CV300,8,FALSE)/HLOOKUP("Mins",A1:CV300,8,FALSE)* 90)</f>
      </c>
      <c r="AY8" s="5277">
        <f>IF(HLOOKUP("Mins",A1:CV300,8,FALSE)=0,0,HLOOKUP("BPS",A1:CV300,8,FALSE)/HLOOKUP("Mins",A1:CV300,8,FALSE)* 90)</f>
      </c>
      <c r="AZ8" s="5278">
        <f>IF(HLOOKUP("Mins",A1:CV300,8,FALSE)=0,0,HLOOKUP("Base BPS",A1:CV300,8,FALSE)/HLOOKUP("Mins",A1:CV300,8,FALSE)* 90)</f>
      </c>
      <c r="BA8" s="5279">
        <f>IF(HLOOKUP("Mins",A1:CV300,8,FALSE)=0,0,HLOOKUP("PenTchs",A1:CV300,8,FALSE)/HLOOKUP("Mins",A1:CV300,8,FALSE)* 90)</f>
      </c>
      <c r="BB8" s="5280">
        <f>IF(HLOOKUP("Mins",A1:CV300,8,FALSE)=0,0,HLOOKUP("Shots",A1:CV300,8,FALSE)/HLOOKUP("Mins",A1:CV300,8,FALSE)* 90)</f>
      </c>
      <c r="BC8" s="5281">
        <f>IF(HLOOKUP("Mins",A1:CV300,8,FALSE)=0,0,HLOOKUP("SIB",A1:CV300,8,FALSE)/HLOOKUP("Mins",A1:CV300,8,FALSE)* 90)</f>
      </c>
      <c r="BD8" s="5282">
        <f>IF(HLOOKUP("Mins",A1:CV300,8,FALSE)=0,0,HLOOKUP("S6YD",A1:CV300,8,FALSE)/HLOOKUP("Mins",A1:CV300,8,FALSE)* 90)</f>
      </c>
      <c r="BE8" s="5283">
        <f>IF(HLOOKUP("Mins",A1:CV300,8,FALSE)=0,0,HLOOKUP("Headers",A1:CV300,8,FALSE)/HLOOKUP("Mins",A1:CV300,8,FALSE)* 90)</f>
      </c>
      <c r="BF8" s="5284">
        <f>IF(HLOOKUP("Mins",A1:CV300,8,FALSE)=0,0,HLOOKUP("SOT",A1:CV300,8,FALSE)/HLOOKUP("Mins",A1:CV300,8,FALSE)* 90)</f>
      </c>
      <c r="BG8" s="5285">
        <f>IF(HLOOKUP("Mins",A1:CV300,8,FALSE)=0,0,HLOOKUP("As",A1:CV300,8,FALSE)/HLOOKUP("Mins",A1:CV300,8,FALSE)* 90)</f>
      </c>
      <c r="BH8" s="5286">
        <f>IF(HLOOKUP("Mins",A1:CV300,8,FALSE)=0,0,HLOOKUP("FPL As",A1:CV300,8,FALSE)/HLOOKUP("Mins",A1:CV300,8,FALSE)* 90)</f>
      </c>
      <c r="BI8" s="5287">
        <f>IF(HLOOKUP("Mins",A1:CV300,8,FALSE)=0,0,HLOOKUP("BC Created",A1:CV300,8,FALSE)/HLOOKUP("Mins",A1:CV300,8,FALSE)* 90)</f>
      </c>
      <c r="BJ8" s="5288">
        <f>IF(HLOOKUP("Mins",A1:CV300,8,FALSE)=0,0,HLOOKUP("KP",A1:CV300,8,FALSE)/HLOOKUP("Mins",A1:CV300,8,FALSE)* 90)</f>
      </c>
      <c r="BK8" s="5289">
        <f>IF(HLOOKUP("Mins",A1:CV300,8,FALSE)=0,0,HLOOKUP("BC",A1:CV300,8,FALSE)/HLOOKUP("Mins",A1:CV300,8,FALSE)* 90)</f>
      </c>
      <c r="BL8" s="5290">
        <f>IF(HLOOKUP("Mins",A1:CV300,8,FALSE)=0,0,HLOOKUP("BC Miss",A1:CV300,8,FALSE)/HLOOKUP("Mins",A1:CV300,8,FALSE)* 90)</f>
      </c>
      <c r="BM8" s="5291">
        <f>IF(HLOOKUP("Mins",A1:CV300,8,FALSE)=0,0,HLOOKUP("Gs - BC",A1:CV300,8,FALSE)/HLOOKUP("Mins",A1:CV300,8,FALSE)* 90)</f>
      </c>
      <c r="BN8" s="5292">
        <f>IF(HLOOKUP("Mins",A1:CV300,8,FALSE)=0,0,HLOOKUP("GIB",A1:CV300,8,FALSE)/HLOOKUP("Mins",A1:CV300,8,FALSE)* 90)</f>
      </c>
      <c r="BO8" s="5293">
        <f>IF(HLOOKUP("Mins",A1:CV300,8,FALSE)=0,0,HLOOKUP("Gs - Open",A1:CV300,8,FALSE)/HLOOKUP("Mins",A1:CV300,8,FALSE)* 90)</f>
      </c>
      <c r="BP8" s="5294">
        <f>IF(HLOOKUP("Mins",A1:CV300,8,FALSE)=0,0,HLOOKUP("ICT Index",A1:CV300,8,FALSE)/HLOOKUP("Mins",A1:CV300,8,FALSE)* 90)</f>
      </c>
      <c r="BQ8" s="5295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5296">
        <f>0.0825*HLOOKUP("KP/90",A1:CV300,8,FALSE)</f>
      </c>
      <c r="BS8" s="5297">
        <f>6*HLOOKUP("xG/90",A1:CV300,8,FALSE)+3*HLOOKUP("xA/90",A1:CV300,8,FALSE)</f>
      </c>
      <c r="BT8" s="5298">
        <f>HLOOKUP("xPts/90",A1:CV300,8,FALSE)-(6*0.75*(HLOOKUP("PK Gs",A1:CV300,8,FALSE)+HLOOKUP("PK Miss",A1:CV300,8,FALSE))*90/HLOOKUP("Mins",A1:CV300,8,FALSE))</f>
      </c>
      <c r="BU8" s="5299">
        <f>IF(HLOOKUP("Mins",A1:CV300,8,FALSE)=0,0,HLOOKUP("fsXG",A1:CV300,8,FALSE)/HLOOKUP("Mins",A1:CV300,8,FALSE)* 90)</f>
      </c>
      <c r="BV8" s="5300">
        <f>IF(HLOOKUP("Mins",A1:CV300,8,FALSE)=0,0,HLOOKUP("fsXA",A1:CV300,8,FALSE)/HLOOKUP("Mins",A1:CV300,8,FALSE)* 90)</f>
      </c>
      <c r="BW8" s="5301">
        <f>6*HLOOKUP("fsXG/90",A1:CV300,8,FALSE)+3*HLOOKUP("fsXA/90",A1:CV300,8,FALSE)</f>
      </c>
      <c r="BX8" t="n" s="5302">
        <v>0.0</v>
      </c>
      <c r="BY8" t="n" s="5303">
        <v>0.0</v>
      </c>
      <c r="BZ8" s="5304">
        <f>6*HLOOKUP("uXG/90",A1:CV300,8,FALSE)+3*HLOOKUP("uXA/90",A1:CV300,8,FALSE)</f>
      </c>
    </row>
    <row r="9">
      <c r="A9" t="s" s="5305">
        <v>165</v>
      </c>
      <c r="B9" t="s" s="5306">
        <v>100</v>
      </c>
      <c r="C9" t="n" s="5307">
        <v>5.400000095367432</v>
      </c>
      <c r="D9" t="n" s="5308">
        <v>487.0</v>
      </c>
      <c r="E9" t="n" s="5309">
        <v>6.0</v>
      </c>
      <c r="F9" t="n" s="5310">
        <v>51.0</v>
      </c>
      <c r="G9" t="n" s="5311">
        <v>0.0</v>
      </c>
      <c r="H9" t="n" s="5312">
        <v>0.0</v>
      </c>
      <c r="I9" t="n" s="5313">
        <v>275.0</v>
      </c>
      <c r="J9" s="5314">
        <f>HLOOKUP("BPS",A1:CV300,9,FALSE)-((-6*HLOOKUP("OG",A1:CV300,9,FALSE))+(-6*HLOOKUP("PK Miss",A1:CV300,9,FALSE))+(9*HLOOKUP("FPL As",A1:CV300,9,FALSE))+(12*HLOOKUP("CS",A1:CV300,9,FALSE))+(12*HLOOKUP("Gs",A1:CV300,9,FALSE)))</f>
      </c>
      <c r="K9" t="n" s="5315">
        <v>0.0</v>
      </c>
      <c r="L9" t="n" s="5316">
        <v>3.0</v>
      </c>
      <c r="M9" t="n" s="5317">
        <v>16.0</v>
      </c>
      <c r="N9" t="n" s="5318">
        <v>3.0</v>
      </c>
      <c r="O9" t="n" s="5319">
        <v>2.0</v>
      </c>
      <c r="P9" s="5320">
        <f>IF(HLOOKUP("Shots",A1:CV300,9,FALSE)=0,0,HLOOKUP("SIB",A1:CV300,9,FALSE)/HLOOKUP("Shots",A1:CV300,9,FALSE))</f>
      </c>
      <c r="Q9" t="n" s="5321">
        <v>0.0</v>
      </c>
      <c r="R9" s="5322">
        <f>IF(HLOOKUP("Shots",A1:CV300,9,FALSE)=0,0,HLOOKUP("S6YD",A1:CV300,9,FALSE)/HLOOKUP("Shots",A1:CV300,9,FALSE))</f>
      </c>
      <c r="S9" t="n" s="5323">
        <v>0.0</v>
      </c>
      <c r="T9" s="5324">
        <f>IF(HLOOKUP("Shots",A1:CV300,9,FALSE)=0,0,HLOOKUP("Headers",A1:CV300,9,FALSE)/HLOOKUP("Shots",A1:CV300,9,FALSE))</f>
      </c>
      <c r="U9" t="n" s="5325">
        <v>0.0</v>
      </c>
      <c r="V9" s="5326">
        <f>IF(HLOOKUP("Shots",A1:CV300,9,FALSE)=0,0,HLOOKUP("SOT",A1:CV300,9,FALSE)/HLOOKUP("Shots",A1:CV300,9,FALSE))</f>
      </c>
      <c r="W9" s="5327">
        <f>IF(HLOOKUP("Shots",A1:CV300,9,FALSE)=0,0,HLOOKUP("Gs",A1:CV300,9,FALSE)/HLOOKUP("Shots",A1:CV300,9,FALSE))</f>
      </c>
      <c r="X9" t="n" s="5328">
        <v>0.0</v>
      </c>
      <c r="Y9" t="n" s="5329">
        <v>1.0</v>
      </c>
      <c r="Z9" t="n" s="5330">
        <v>3.0</v>
      </c>
      <c r="AA9" s="5331">
        <f>IF(HLOOKUP("KP",A1:CV300,9,FALSE)=0,0,HLOOKUP("As",A1:CV300,9,FALSE)/HLOOKUP("KP",A1:CV300,9,FALSE))</f>
      </c>
      <c r="AB9" t="n" s="5332">
        <v>19.7</v>
      </c>
      <c r="AC9" t="n" s="5333">
        <v>0.0</v>
      </c>
      <c r="AD9" t="n" s="5334">
        <v>0.0</v>
      </c>
      <c r="AE9" t="n" s="5335">
        <v>0.0</v>
      </c>
      <c r="AF9" t="n" s="5336">
        <v>0.0</v>
      </c>
      <c r="AG9" s="5337">
        <f>IF(HLOOKUP("BC",A1:CV300,9,FALSE)=0,0,HLOOKUP("Gs - BC",A1:CV300,9,FALSE)/HLOOKUP("BC",A1:CV300,9,FALSE))</f>
      </c>
      <c r="AH9" s="5338">
        <f>HLOOKUP("BC",A1:CV300,9,FALSE) - HLOOKUP("BC Miss",A1:CV300,9,FALSE)</f>
      </c>
      <c r="AI9" s="5339">
        <f>IF(HLOOKUP("Gs",A1:CV300,9,FALSE)=0,0,HLOOKUP("Gs - BC",A1:CV300,9,FALSE)/HLOOKUP("Gs",A1:CV300,9,FALSE))</f>
      </c>
      <c r="AJ9" t="n" s="5340">
        <v>0.0</v>
      </c>
      <c r="AK9" t="n" s="5341">
        <v>0.0</v>
      </c>
      <c r="AL9" s="5342">
        <f>HLOOKUP("BC",A1:CV300,9,FALSE) - (HLOOKUP("PK Gs",A1:CV300,9,FALSE) + HLOOKUP("PK Miss",A1:CV300,9,FALSE))</f>
      </c>
      <c r="AM9" s="5343">
        <f>HLOOKUP("BC Miss",A1:CV300,9,FALSE) - HLOOKUP("PK Miss",A1:CV300,9,FALSE)</f>
      </c>
      <c r="AN9" s="5344">
        <f>IF(HLOOKUP("BC - Open",A1:CV300,9,FALSE)=0,0,HLOOKUP("BC - Open Miss",A1:CV300,9,FALSE)/HLOOKUP("BC - Open",A1:CV300,9,FALSE))</f>
      </c>
      <c r="AO9" t="n" s="5345">
        <v>0.0</v>
      </c>
      <c r="AP9" s="5346">
        <f>IF(HLOOKUP("Gs",A1:CV300,9,FALSE)=0,0,HLOOKUP("GIB",A1:CV300,9,FALSE)/HLOOKUP("Gs",A1:CV300,9,FALSE))</f>
      </c>
      <c r="AQ9" t="n" s="5347">
        <v>0.0</v>
      </c>
      <c r="AR9" s="5348">
        <f>IF(HLOOKUP("Gs",A1:CV300,9,FALSE)=0,0,HLOOKUP("Gs - Open",A1:CV300,9,FALSE)/HLOOKUP("Gs",A1:CV300,9,FALSE))</f>
      </c>
      <c r="AS9" t="n" s="5349">
        <v>0.12</v>
      </c>
      <c r="AT9" t="n" s="5350">
        <v>0.2</v>
      </c>
      <c r="AU9" s="5351">
        <f>IF(HLOOKUP("Mins",A1:CV300,9,FALSE)=0,0,HLOOKUP("Pts",A1:CV300,9,FALSE)/HLOOKUP("Mins",A1:CV300,9,FALSE)* 90)</f>
      </c>
      <c r="AV9" s="5352">
        <f>IF(HLOOKUP("Apps",A1:CV300,9,FALSE)=0,0,HLOOKUP("Pts",A1:CV300,9,FALSE)/HLOOKUP("Apps",A1:CV300,9,FALSE)* 1)</f>
      </c>
      <c r="AW9" s="5353">
        <f>IF(HLOOKUP("Mins",A1:CV300,9,FALSE)=0,0,HLOOKUP("Gs",A1:CV300,9,FALSE)/HLOOKUP("Mins",A1:CV300,9,FALSE)* 90)</f>
      </c>
      <c r="AX9" s="5354">
        <f>IF(HLOOKUP("Mins",A1:CV300,9,FALSE)=0,0,HLOOKUP("Bonus",A1:CV300,9,FALSE)/HLOOKUP("Mins",A1:CV300,9,FALSE)* 90)</f>
      </c>
      <c r="AY9" s="5355">
        <f>IF(HLOOKUP("Mins",A1:CV300,9,FALSE)=0,0,HLOOKUP("BPS",A1:CV300,9,FALSE)/HLOOKUP("Mins",A1:CV300,9,FALSE)* 90)</f>
      </c>
      <c r="AZ9" s="5356">
        <f>IF(HLOOKUP("Mins",A1:CV300,9,FALSE)=0,0,HLOOKUP("Base BPS",A1:CV300,9,FALSE)/HLOOKUP("Mins",A1:CV300,9,FALSE)* 90)</f>
      </c>
      <c r="BA9" s="5357">
        <f>IF(HLOOKUP("Mins",A1:CV300,9,FALSE)=0,0,HLOOKUP("PenTchs",A1:CV300,9,FALSE)/HLOOKUP("Mins",A1:CV300,9,FALSE)* 90)</f>
      </c>
      <c r="BB9" s="5358">
        <f>IF(HLOOKUP("Mins",A1:CV300,9,FALSE)=0,0,HLOOKUP("Shots",A1:CV300,9,FALSE)/HLOOKUP("Mins",A1:CV300,9,FALSE)* 90)</f>
      </c>
      <c r="BC9" s="5359">
        <f>IF(HLOOKUP("Mins",A1:CV300,9,FALSE)=0,0,HLOOKUP("SIB",A1:CV300,9,FALSE)/HLOOKUP("Mins",A1:CV300,9,FALSE)* 90)</f>
      </c>
      <c r="BD9" s="5360">
        <f>IF(HLOOKUP("Mins",A1:CV300,9,FALSE)=0,0,HLOOKUP("S6YD",A1:CV300,9,FALSE)/HLOOKUP("Mins",A1:CV300,9,FALSE)* 90)</f>
      </c>
      <c r="BE9" s="5361">
        <f>IF(HLOOKUP("Mins",A1:CV300,9,FALSE)=0,0,HLOOKUP("Headers",A1:CV300,9,FALSE)/HLOOKUP("Mins",A1:CV300,9,FALSE)* 90)</f>
      </c>
      <c r="BF9" s="5362">
        <f>IF(HLOOKUP("Mins",A1:CV300,9,FALSE)=0,0,HLOOKUP("SOT",A1:CV300,9,FALSE)/HLOOKUP("Mins",A1:CV300,9,FALSE)* 90)</f>
      </c>
      <c r="BG9" s="5363">
        <f>IF(HLOOKUP("Mins",A1:CV300,9,FALSE)=0,0,HLOOKUP("As",A1:CV300,9,FALSE)/HLOOKUP("Mins",A1:CV300,9,FALSE)* 90)</f>
      </c>
      <c r="BH9" s="5364">
        <f>IF(HLOOKUP("Mins",A1:CV300,9,FALSE)=0,0,HLOOKUP("FPL As",A1:CV300,9,FALSE)/HLOOKUP("Mins",A1:CV300,9,FALSE)* 90)</f>
      </c>
      <c r="BI9" s="5365">
        <f>IF(HLOOKUP("Mins",A1:CV300,9,FALSE)=0,0,HLOOKUP("BC Created",A1:CV300,9,FALSE)/HLOOKUP("Mins",A1:CV300,9,FALSE)* 90)</f>
      </c>
      <c r="BJ9" s="5366">
        <f>IF(HLOOKUP("Mins",A1:CV300,9,FALSE)=0,0,HLOOKUP("KP",A1:CV300,9,FALSE)/HLOOKUP("Mins",A1:CV300,9,FALSE)* 90)</f>
      </c>
      <c r="BK9" s="5367">
        <f>IF(HLOOKUP("Mins",A1:CV300,9,FALSE)=0,0,HLOOKUP("BC",A1:CV300,9,FALSE)/HLOOKUP("Mins",A1:CV300,9,FALSE)* 90)</f>
      </c>
      <c r="BL9" s="5368">
        <f>IF(HLOOKUP("Mins",A1:CV300,9,FALSE)=0,0,HLOOKUP("BC Miss",A1:CV300,9,FALSE)/HLOOKUP("Mins",A1:CV300,9,FALSE)* 90)</f>
      </c>
      <c r="BM9" s="5369">
        <f>IF(HLOOKUP("Mins",A1:CV300,9,FALSE)=0,0,HLOOKUP("Gs - BC",A1:CV300,9,FALSE)/HLOOKUP("Mins",A1:CV300,9,FALSE)* 90)</f>
      </c>
      <c r="BN9" s="5370">
        <f>IF(HLOOKUP("Mins",A1:CV300,9,FALSE)=0,0,HLOOKUP("GIB",A1:CV300,9,FALSE)/HLOOKUP("Mins",A1:CV300,9,FALSE)* 90)</f>
      </c>
      <c r="BO9" s="5371">
        <f>IF(HLOOKUP("Mins",A1:CV300,9,FALSE)=0,0,HLOOKUP("Gs - Open",A1:CV300,9,FALSE)/HLOOKUP("Mins",A1:CV300,9,FALSE)* 90)</f>
      </c>
      <c r="BP9" s="5372">
        <f>IF(HLOOKUP("Mins",A1:CV300,9,FALSE)=0,0,HLOOKUP("ICT Index",A1:CV300,9,FALSE)/HLOOKUP("Mins",A1:CV300,9,FALSE)* 90)</f>
      </c>
      <c r="BQ9" s="5373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5374">
        <f>0.0825*HLOOKUP("KP/90",A1:CV300,9,FALSE)</f>
      </c>
      <c r="BS9" s="5375">
        <f>6*HLOOKUP("xG/90",A1:CV300,9,FALSE)+3*HLOOKUP("xA/90",A1:CV300,9,FALSE)</f>
      </c>
      <c r="BT9" s="5376">
        <f>HLOOKUP("xPts/90",A1:CV300,9,FALSE)-(6*0.75*(HLOOKUP("PK Gs",A1:CV300,9,FALSE)+HLOOKUP("PK Miss",A1:CV300,9,FALSE))*90/HLOOKUP("Mins",A1:CV300,9,FALSE))</f>
      </c>
      <c r="BU9" s="5377">
        <f>IF(HLOOKUP("Mins",A1:CV300,9,FALSE)=0,0,HLOOKUP("fsXG",A1:CV300,9,FALSE)/HLOOKUP("Mins",A1:CV300,9,FALSE)* 90)</f>
      </c>
      <c r="BV9" s="5378">
        <f>IF(HLOOKUP("Mins",A1:CV300,9,FALSE)=0,0,HLOOKUP("fsXA",A1:CV300,9,FALSE)/HLOOKUP("Mins",A1:CV300,9,FALSE)* 90)</f>
      </c>
      <c r="BW9" s="5379">
        <f>6*HLOOKUP("fsXG/90",A1:CV300,9,FALSE)+3*HLOOKUP("fsXA/90",A1:CV300,9,FALSE)</f>
      </c>
      <c r="BX9" t="n" s="5380">
        <v>0.02089683711528778</v>
      </c>
      <c r="BY9" t="n" s="5381">
        <v>0.02483215741813183</v>
      </c>
      <c r="BZ9" s="5382">
        <f>6*HLOOKUP("uXG/90",A1:CV300,9,FALSE)+3*HLOOKUP("uXA/90",A1:CV300,9,FALSE)</f>
      </c>
    </row>
    <row r="10">
      <c r="A10" t="s" s="5383">
        <v>166</v>
      </c>
      <c r="B10" t="s" s="5384">
        <v>112</v>
      </c>
      <c r="C10" t="n" s="5385">
        <v>4.300000190734863</v>
      </c>
      <c r="D10" t="n" s="5386">
        <v>450.0</v>
      </c>
      <c r="E10" t="n" s="5387">
        <v>5.0</v>
      </c>
      <c r="F10" t="n" s="5388">
        <v>36.0</v>
      </c>
      <c r="G10" t="n" s="5389">
        <v>0.0</v>
      </c>
      <c r="H10" t="n" s="5390">
        <v>3.0</v>
      </c>
      <c r="I10" t="n" s="5391">
        <v>189.0</v>
      </c>
      <c r="J10" s="5392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5393">
        <v>0.0</v>
      </c>
      <c r="L10" t="n" s="5394">
        <v>3.0</v>
      </c>
      <c r="M10" t="n" s="5395">
        <v>3.0</v>
      </c>
      <c r="N10" t="n" s="5396">
        <v>3.0</v>
      </c>
      <c r="O10" t="n" s="5397">
        <v>3.0</v>
      </c>
      <c r="P10" s="5398">
        <f>IF(HLOOKUP("Shots",A1:CV300,10,FALSE)=0,0,HLOOKUP("SIB",A1:CV300,10,FALSE)/HLOOKUP("Shots",A1:CV300,10,FALSE))</f>
      </c>
      <c r="Q10" t="n" s="5399">
        <v>0.0</v>
      </c>
      <c r="R10" s="5400">
        <f>IF(HLOOKUP("Shots",A1:CV300,10,FALSE)=0,0,HLOOKUP("S6YD",A1:CV300,10,FALSE)/HLOOKUP("Shots",A1:CV300,10,FALSE))</f>
      </c>
      <c r="S10" t="n" s="5401">
        <v>3.0</v>
      </c>
      <c r="T10" s="5402">
        <f>IF(HLOOKUP("Shots",A1:CV300,10,FALSE)=0,0,HLOOKUP("Headers",A1:CV300,10,FALSE)/HLOOKUP("Shots",A1:CV300,10,FALSE))</f>
      </c>
      <c r="U10" t="n" s="5403">
        <v>1.0</v>
      </c>
      <c r="V10" s="5404">
        <f>IF(HLOOKUP("Shots",A1:CV300,10,FALSE)=0,0,HLOOKUP("SOT",A1:CV300,10,FALSE)/HLOOKUP("Shots",A1:CV300,10,FALSE))</f>
      </c>
      <c r="W10" s="5405">
        <f>IF(HLOOKUP("Shots",A1:CV300,10,FALSE)=0,0,HLOOKUP("Gs",A1:CV300,10,FALSE)/HLOOKUP("Shots",A1:CV300,10,FALSE))</f>
      </c>
      <c r="X10" t="n" s="5406">
        <v>0.0</v>
      </c>
      <c r="Y10" t="n" s="5407">
        <v>0.0</v>
      </c>
      <c r="Z10" t="n" s="5408">
        <v>0.0</v>
      </c>
      <c r="AA10" s="5409">
        <f>IF(HLOOKUP("KP",A1:CV300,10,FALSE)=0,0,HLOOKUP("As",A1:CV300,10,FALSE)/HLOOKUP("KP",A1:CV300,10,FALSE))</f>
      </c>
      <c r="AB10" t="n" s="5410">
        <v>14.5</v>
      </c>
      <c r="AC10" t="n" s="5411">
        <v>0.0</v>
      </c>
      <c r="AD10" t="n" s="5412">
        <v>0.0</v>
      </c>
      <c r="AE10" t="n" s="5413">
        <v>0.0</v>
      </c>
      <c r="AF10" t="n" s="5414">
        <v>0.0</v>
      </c>
      <c r="AG10" s="5415">
        <f>IF(HLOOKUP("BC",A1:CV300,10,FALSE)=0,0,HLOOKUP("Gs - BC",A1:CV300,10,FALSE)/HLOOKUP("BC",A1:CV300,10,FALSE))</f>
      </c>
      <c r="AH10" s="5416">
        <f>HLOOKUP("BC",A1:CV300,10,FALSE) - HLOOKUP("BC Miss",A1:CV300,10,FALSE)</f>
      </c>
      <c r="AI10" s="5417">
        <f>IF(HLOOKUP("Gs",A1:CV300,10,FALSE)=0,0,HLOOKUP("Gs - BC",A1:CV300,10,FALSE)/HLOOKUP("Gs",A1:CV300,10,FALSE))</f>
      </c>
      <c r="AJ10" t="n" s="5418">
        <v>0.0</v>
      </c>
      <c r="AK10" t="n" s="5419">
        <v>0.0</v>
      </c>
      <c r="AL10" s="5420">
        <f>HLOOKUP("BC",A1:CV300,10,FALSE) - (HLOOKUP("PK Gs",A1:CV300,10,FALSE) + HLOOKUP("PK Miss",A1:CV300,10,FALSE))</f>
      </c>
      <c r="AM10" s="5421">
        <f>HLOOKUP("BC Miss",A1:CV300,10,FALSE) - HLOOKUP("PK Miss",A1:CV300,10,FALSE)</f>
      </c>
      <c r="AN10" s="5422">
        <f>IF(HLOOKUP("BC - Open",A1:CV300,10,FALSE)=0,0,HLOOKUP("BC - Open Miss",A1:CV300,10,FALSE)/HLOOKUP("BC - Open",A1:CV300,10,FALSE))</f>
      </c>
      <c r="AO10" t="n" s="5423">
        <v>0.0</v>
      </c>
      <c r="AP10" s="5424">
        <f>IF(HLOOKUP("Gs",A1:CV300,10,FALSE)=0,0,HLOOKUP("GIB",A1:CV300,10,FALSE)/HLOOKUP("Gs",A1:CV300,10,FALSE))</f>
      </c>
      <c r="AQ10" t="n" s="5425">
        <v>0.0</v>
      </c>
      <c r="AR10" s="5426">
        <f>IF(HLOOKUP("Gs",A1:CV300,10,FALSE)=0,0,HLOOKUP("Gs - Open",A1:CV300,10,FALSE)/HLOOKUP("Gs",A1:CV300,10,FALSE))</f>
      </c>
      <c r="AS10" t="n" s="5427">
        <v>0.2</v>
      </c>
      <c r="AT10" t="n" s="5428">
        <v>0.01</v>
      </c>
      <c r="AU10" s="5429">
        <f>IF(HLOOKUP("Mins",A1:CV300,10,FALSE)=0,0,HLOOKUP("Pts",A1:CV300,10,FALSE)/HLOOKUP("Mins",A1:CV300,10,FALSE)* 90)</f>
      </c>
      <c r="AV10" s="5430">
        <f>IF(HLOOKUP("Apps",A1:CV300,10,FALSE)=0,0,HLOOKUP("Pts",A1:CV300,10,FALSE)/HLOOKUP("Apps",A1:CV300,10,FALSE)* 1)</f>
      </c>
      <c r="AW10" s="5431">
        <f>IF(HLOOKUP("Mins",A1:CV300,10,FALSE)=0,0,HLOOKUP("Gs",A1:CV300,10,FALSE)/HLOOKUP("Mins",A1:CV300,10,FALSE)* 90)</f>
      </c>
      <c r="AX10" s="5432">
        <f>IF(HLOOKUP("Mins",A1:CV300,10,FALSE)=0,0,HLOOKUP("Bonus",A1:CV300,10,FALSE)/HLOOKUP("Mins",A1:CV300,10,FALSE)* 90)</f>
      </c>
      <c r="AY10" s="5433">
        <f>IF(HLOOKUP("Mins",A1:CV300,10,FALSE)=0,0,HLOOKUP("BPS",A1:CV300,10,FALSE)/HLOOKUP("Mins",A1:CV300,10,FALSE)* 90)</f>
      </c>
      <c r="AZ10" s="5434">
        <f>IF(HLOOKUP("Mins",A1:CV300,10,FALSE)=0,0,HLOOKUP("Base BPS",A1:CV300,10,FALSE)/HLOOKUP("Mins",A1:CV300,10,FALSE)* 90)</f>
      </c>
      <c r="BA10" s="5435">
        <f>IF(HLOOKUP("Mins",A1:CV300,10,FALSE)=0,0,HLOOKUP("PenTchs",A1:CV300,10,FALSE)/HLOOKUP("Mins",A1:CV300,10,FALSE)* 90)</f>
      </c>
      <c r="BB10" s="5436">
        <f>IF(HLOOKUP("Mins",A1:CV300,10,FALSE)=0,0,HLOOKUP("Shots",A1:CV300,10,FALSE)/HLOOKUP("Mins",A1:CV300,10,FALSE)* 90)</f>
      </c>
      <c r="BC10" s="5437">
        <f>IF(HLOOKUP("Mins",A1:CV300,10,FALSE)=0,0,HLOOKUP("SIB",A1:CV300,10,FALSE)/HLOOKUP("Mins",A1:CV300,10,FALSE)* 90)</f>
      </c>
      <c r="BD10" s="5438">
        <f>IF(HLOOKUP("Mins",A1:CV300,10,FALSE)=0,0,HLOOKUP("S6YD",A1:CV300,10,FALSE)/HLOOKUP("Mins",A1:CV300,10,FALSE)* 90)</f>
      </c>
      <c r="BE10" s="5439">
        <f>IF(HLOOKUP("Mins",A1:CV300,10,FALSE)=0,0,HLOOKUP("Headers",A1:CV300,10,FALSE)/HLOOKUP("Mins",A1:CV300,10,FALSE)* 90)</f>
      </c>
      <c r="BF10" s="5440">
        <f>IF(HLOOKUP("Mins",A1:CV300,10,FALSE)=0,0,HLOOKUP("SOT",A1:CV300,10,FALSE)/HLOOKUP("Mins",A1:CV300,10,FALSE)* 90)</f>
      </c>
      <c r="BG10" s="5441">
        <f>IF(HLOOKUP("Mins",A1:CV300,10,FALSE)=0,0,HLOOKUP("As",A1:CV300,10,FALSE)/HLOOKUP("Mins",A1:CV300,10,FALSE)* 90)</f>
      </c>
      <c r="BH10" s="5442">
        <f>IF(HLOOKUP("Mins",A1:CV300,10,FALSE)=0,0,HLOOKUP("FPL As",A1:CV300,10,FALSE)/HLOOKUP("Mins",A1:CV300,10,FALSE)* 90)</f>
      </c>
      <c r="BI10" s="5443">
        <f>IF(HLOOKUP("Mins",A1:CV300,10,FALSE)=0,0,HLOOKUP("BC Created",A1:CV300,10,FALSE)/HLOOKUP("Mins",A1:CV300,10,FALSE)* 90)</f>
      </c>
      <c r="BJ10" s="5444">
        <f>IF(HLOOKUP("Mins",A1:CV300,10,FALSE)=0,0,HLOOKUP("KP",A1:CV300,10,FALSE)/HLOOKUP("Mins",A1:CV300,10,FALSE)* 90)</f>
      </c>
      <c r="BK10" s="5445">
        <f>IF(HLOOKUP("Mins",A1:CV300,10,FALSE)=0,0,HLOOKUP("BC",A1:CV300,10,FALSE)/HLOOKUP("Mins",A1:CV300,10,FALSE)* 90)</f>
      </c>
      <c r="BL10" s="5446">
        <f>IF(HLOOKUP("Mins",A1:CV300,10,FALSE)=0,0,HLOOKUP("BC Miss",A1:CV300,10,FALSE)/HLOOKUP("Mins",A1:CV300,10,FALSE)* 90)</f>
      </c>
      <c r="BM10" s="5447">
        <f>IF(HLOOKUP("Mins",A1:CV300,10,FALSE)=0,0,HLOOKUP("Gs - BC",A1:CV300,10,FALSE)/HLOOKUP("Mins",A1:CV300,10,FALSE)* 90)</f>
      </c>
      <c r="BN10" s="5448">
        <f>IF(HLOOKUP("Mins",A1:CV300,10,FALSE)=0,0,HLOOKUP("GIB",A1:CV300,10,FALSE)/HLOOKUP("Mins",A1:CV300,10,FALSE)* 90)</f>
      </c>
      <c r="BO10" s="5449">
        <f>IF(HLOOKUP("Mins",A1:CV300,10,FALSE)=0,0,HLOOKUP("Gs - Open",A1:CV300,10,FALSE)/HLOOKUP("Mins",A1:CV300,10,FALSE)* 90)</f>
      </c>
      <c r="BP10" s="5450">
        <f>IF(HLOOKUP("Mins",A1:CV300,10,FALSE)=0,0,HLOOKUP("ICT Index",A1:CV300,10,FALSE)/HLOOKUP("Mins",A1:CV300,10,FALSE)* 90)</f>
      </c>
      <c r="BQ10" s="5451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5452">
        <f>0.0825*HLOOKUP("KP/90",A1:CV300,10,FALSE)</f>
      </c>
      <c r="BS10" s="5453">
        <f>6*HLOOKUP("xG/90",A1:CV300,10,FALSE)+3*HLOOKUP("xA/90",A1:CV300,10,FALSE)</f>
      </c>
      <c r="BT10" s="5454">
        <f>HLOOKUP("xPts/90",A1:CV300,10,FALSE)-(6*0.75*(HLOOKUP("PK Gs",A1:CV300,10,FALSE)+HLOOKUP("PK Miss",A1:CV300,10,FALSE))*90/HLOOKUP("Mins",A1:CV300,10,FALSE))</f>
      </c>
      <c r="BU10" s="5455">
        <f>IF(HLOOKUP("Mins",A1:CV300,10,FALSE)=0,0,HLOOKUP("fsXG",A1:CV300,10,FALSE)/HLOOKUP("Mins",A1:CV300,10,FALSE)* 90)</f>
      </c>
      <c r="BV10" s="5456">
        <f>IF(HLOOKUP("Mins",A1:CV300,10,FALSE)=0,0,HLOOKUP("fsXA",A1:CV300,10,FALSE)/HLOOKUP("Mins",A1:CV300,10,FALSE)* 90)</f>
      </c>
      <c r="BW10" s="5457">
        <f>6*HLOOKUP("fsXG/90",A1:CV300,10,FALSE)+3*HLOOKUP("fsXA/90",A1:CV300,10,FALSE)</f>
      </c>
      <c r="BX10" t="n" s="5458">
        <v>0.037249866873025894</v>
      </c>
      <c r="BY10" t="n" s="5459">
        <v>0.0</v>
      </c>
      <c r="BZ10" s="5460">
        <f>6*HLOOKUP("uXG/90",A1:CV300,10,FALSE)+3*HLOOKUP("uXA/90",A1:CV300,10,FALSE)</f>
      </c>
    </row>
    <row r="11">
      <c r="A11" t="s" s="5461">
        <v>167</v>
      </c>
      <c r="B11" t="s" s="5462">
        <v>90</v>
      </c>
      <c r="C11" t="n" s="5463">
        <v>4.5</v>
      </c>
      <c r="D11" t="n" s="5464">
        <v>100.0</v>
      </c>
      <c r="E11" t="n" s="5465">
        <v>2.0</v>
      </c>
      <c r="F11" t="n" s="5466">
        <v>21.0</v>
      </c>
      <c r="G11" t="n" s="5467">
        <v>0.0</v>
      </c>
      <c r="H11" t="n" s="5468">
        <v>0.0</v>
      </c>
      <c r="I11" t="n" s="5469">
        <v>188.0</v>
      </c>
      <c r="J11" s="5470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5471">
        <v>0.0</v>
      </c>
      <c r="L11" t="n" s="5472">
        <v>2.0</v>
      </c>
      <c r="M11" t="n" s="5473">
        <v>3.0</v>
      </c>
      <c r="N11" t="n" s="5474">
        <v>1.0</v>
      </c>
      <c r="O11" t="n" s="5475">
        <v>0.0</v>
      </c>
      <c r="P11" s="5476">
        <f>IF(HLOOKUP("Shots",A1:CV300,11,FALSE)=0,0,HLOOKUP("SIB",A1:CV300,11,FALSE)/HLOOKUP("Shots",A1:CV300,11,FALSE))</f>
      </c>
      <c r="Q11" t="n" s="5477">
        <v>0.0</v>
      </c>
      <c r="R11" s="5478">
        <f>IF(HLOOKUP("Shots",A1:CV300,11,FALSE)=0,0,HLOOKUP("S6YD",A1:CV300,11,FALSE)/HLOOKUP("Shots",A1:CV300,11,FALSE))</f>
      </c>
      <c r="S11" t="n" s="5479">
        <v>0.0</v>
      </c>
      <c r="T11" s="5480">
        <f>IF(HLOOKUP("Shots",A1:CV300,11,FALSE)=0,0,HLOOKUP("Headers",A1:CV300,11,FALSE)/HLOOKUP("Shots",A1:CV300,11,FALSE))</f>
      </c>
      <c r="U11" t="n" s="5481">
        <v>0.0</v>
      </c>
      <c r="V11" s="5482">
        <f>IF(HLOOKUP("Shots",A1:CV300,11,FALSE)=0,0,HLOOKUP("SOT",A1:CV300,11,FALSE)/HLOOKUP("Shots",A1:CV300,11,FALSE))</f>
      </c>
      <c r="W11" s="5483">
        <f>IF(HLOOKUP("Shots",A1:CV300,11,FALSE)=0,0,HLOOKUP("Gs",A1:CV300,11,FALSE)/HLOOKUP("Shots",A1:CV300,11,FALSE))</f>
      </c>
      <c r="X11" t="n" s="5484">
        <v>0.0</v>
      </c>
      <c r="Y11" t="n" s="5485">
        <v>0.0</v>
      </c>
      <c r="Z11" t="n" s="5486">
        <v>0.0</v>
      </c>
      <c r="AA11" s="5487">
        <f>IF(HLOOKUP("KP",A1:CV300,11,FALSE)=0,0,HLOOKUP("As",A1:CV300,11,FALSE)/HLOOKUP("KP",A1:CV300,11,FALSE))</f>
      </c>
      <c r="AB11" t="n" s="5488">
        <v>2.3</v>
      </c>
      <c r="AC11" t="n" s="5489">
        <v>0.0</v>
      </c>
      <c r="AD11" t="n" s="5490">
        <v>0.0</v>
      </c>
      <c r="AE11" t="n" s="5491">
        <v>0.0</v>
      </c>
      <c r="AF11" t="n" s="5492">
        <v>0.0</v>
      </c>
      <c r="AG11" s="5493">
        <f>IF(HLOOKUP("BC",A1:CV300,11,FALSE)=0,0,HLOOKUP("Gs - BC",A1:CV300,11,FALSE)/HLOOKUP("BC",A1:CV300,11,FALSE))</f>
      </c>
      <c r="AH11" s="5494">
        <f>HLOOKUP("BC",A1:CV300,11,FALSE) - HLOOKUP("BC Miss",A1:CV300,11,FALSE)</f>
      </c>
      <c r="AI11" s="5495">
        <f>IF(HLOOKUP("Gs",A1:CV300,11,FALSE)=0,0,HLOOKUP("Gs - BC",A1:CV300,11,FALSE)/HLOOKUP("Gs",A1:CV300,11,FALSE))</f>
      </c>
      <c r="AJ11" t="n" s="5496">
        <v>0.0</v>
      </c>
      <c r="AK11" t="n" s="5497">
        <v>0.0</v>
      </c>
      <c r="AL11" s="5498">
        <f>HLOOKUP("BC",A1:CV300,11,FALSE) - (HLOOKUP("PK Gs",A1:CV300,11,FALSE) + HLOOKUP("PK Miss",A1:CV300,11,FALSE))</f>
      </c>
      <c r="AM11" s="5499">
        <f>HLOOKUP("BC Miss",A1:CV300,11,FALSE) - HLOOKUP("PK Miss",A1:CV300,11,FALSE)</f>
      </c>
      <c r="AN11" s="5500">
        <f>IF(HLOOKUP("BC - Open",A1:CV300,11,FALSE)=0,0,HLOOKUP("BC - Open Miss",A1:CV300,11,FALSE)/HLOOKUP("BC - Open",A1:CV300,11,FALSE))</f>
      </c>
      <c r="AO11" t="n" s="5501">
        <v>0.0</v>
      </c>
      <c r="AP11" s="5502">
        <f>IF(HLOOKUP("Gs",A1:CV300,11,FALSE)=0,0,HLOOKUP("GIB",A1:CV300,11,FALSE)/HLOOKUP("Gs",A1:CV300,11,FALSE))</f>
      </c>
      <c r="AQ11" t="n" s="5503">
        <v>0.0</v>
      </c>
      <c r="AR11" s="5504">
        <f>IF(HLOOKUP("Gs",A1:CV300,11,FALSE)=0,0,HLOOKUP("Gs - Open",A1:CV300,11,FALSE)/HLOOKUP("Gs",A1:CV300,11,FALSE))</f>
      </c>
      <c r="AS11" t="n" s="5505">
        <v>0.03</v>
      </c>
      <c r="AT11" t="n" s="5506">
        <v>0.01</v>
      </c>
      <c r="AU11" s="5507">
        <f>IF(HLOOKUP("Mins",A1:CV300,11,FALSE)=0,0,HLOOKUP("Pts",A1:CV300,11,FALSE)/HLOOKUP("Mins",A1:CV300,11,FALSE)* 90)</f>
      </c>
      <c r="AV11" s="5508">
        <f>IF(HLOOKUP("Apps",A1:CV300,11,FALSE)=0,0,HLOOKUP("Pts",A1:CV300,11,FALSE)/HLOOKUP("Apps",A1:CV300,11,FALSE)* 1)</f>
      </c>
      <c r="AW11" s="5509">
        <f>IF(HLOOKUP("Mins",A1:CV300,11,FALSE)=0,0,HLOOKUP("Gs",A1:CV300,11,FALSE)/HLOOKUP("Mins",A1:CV300,11,FALSE)* 90)</f>
      </c>
      <c r="AX11" s="5510">
        <f>IF(HLOOKUP("Mins",A1:CV300,11,FALSE)=0,0,HLOOKUP("Bonus",A1:CV300,11,FALSE)/HLOOKUP("Mins",A1:CV300,11,FALSE)* 90)</f>
      </c>
      <c r="AY11" s="5511">
        <f>IF(HLOOKUP("Mins",A1:CV300,11,FALSE)=0,0,HLOOKUP("BPS",A1:CV300,11,FALSE)/HLOOKUP("Mins",A1:CV300,11,FALSE)* 90)</f>
      </c>
      <c r="AZ11" s="5512">
        <f>IF(HLOOKUP("Mins",A1:CV300,11,FALSE)=0,0,HLOOKUP("Base BPS",A1:CV300,11,FALSE)/HLOOKUP("Mins",A1:CV300,11,FALSE)* 90)</f>
      </c>
      <c r="BA11" s="5513">
        <f>IF(HLOOKUP("Mins",A1:CV300,11,FALSE)=0,0,HLOOKUP("PenTchs",A1:CV300,11,FALSE)/HLOOKUP("Mins",A1:CV300,11,FALSE)* 90)</f>
      </c>
      <c r="BB11" s="5514">
        <f>IF(HLOOKUP("Mins",A1:CV300,11,FALSE)=0,0,HLOOKUP("Shots",A1:CV300,11,FALSE)/HLOOKUP("Mins",A1:CV300,11,FALSE)* 90)</f>
      </c>
      <c r="BC11" s="5515">
        <f>IF(HLOOKUP("Mins",A1:CV300,11,FALSE)=0,0,HLOOKUP("SIB",A1:CV300,11,FALSE)/HLOOKUP("Mins",A1:CV300,11,FALSE)* 90)</f>
      </c>
      <c r="BD11" s="5516">
        <f>IF(HLOOKUP("Mins",A1:CV300,11,FALSE)=0,0,HLOOKUP("S6YD",A1:CV300,11,FALSE)/HLOOKUP("Mins",A1:CV300,11,FALSE)* 90)</f>
      </c>
      <c r="BE11" s="5517">
        <f>IF(HLOOKUP("Mins",A1:CV300,11,FALSE)=0,0,HLOOKUP("Headers",A1:CV300,11,FALSE)/HLOOKUP("Mins",A1:CV300,11,FALSE)* 90)</f>
      </c>
      <c r="BF11" s="5518">
        <f>IF(HLOOKUP("Mins",A1:CV300,11,FALSE)=0,0,HLOOKUP("SOT",A1:CV300,11,FALSE)/HLOOKUP("Mins",A1:CV300,11,FALSE)* 90)</f>
      </c>
      <c r="BG11" s="5519">
        <f>IF(HLOOKUP("Mins",A1:CV300,11,FALSE)=0,0,HLOOKUP("As",A1:CV300,11,FALSE)/HLOOKUP("Mins",A1:CV300,11,FALSE)* 90)</f>
      </c>
      <c r="BH11" s="5520">
        <f>IF(HLOOKUP("Mins",A1:CV300,11,FALSE)=0,0,HLOOKUP("FPL As",A1:CV300,11,FALSE)/HLOOKUP("Mins",A1:CV300,11,FALSE)* 90)</f>
      </c>
      <c r="BI11" s="5521">
        <f>IF(HLOOKUP("Mins",A1:CV300,11,FALSE)=0,0,HLOOKUP("BC Created",A1:CV300,11,FALSE)/HLOOKUP("Mins",A1:CV300,11,FALSE)* 90)</f>
      </c>
      <c r="BJ11" s="5522">
        <f>IF(HLOOKUP("Mins",A1:CV300,11,FALSE)=0,0,HLOOKUP("KP",A1:CV300,11,FALSE)/HLOOKUP("Mins",A1:CV300,11,FALSE)* 90)</f>
      </c>
      <c r="BK11" s="5523">
        <f>IF(HLOOKUP("Mins",A1:CV300,11,FALSE)=0,0,HLOOKUP("BC",A1:CV300,11,FALSE)/HLOOKUP("Mins",A1:CV300,11,FALSE)* 90)</f>
      </c>
      <c r="BL11" s="5524">
        <f>IF(HLOOKUP("Mins",A1:CV300,11,FALSE)=0,0,HLOOKUP("BC Miss",A1:CV300,11,FALSE)/HLOOKUP("Mins",A1:CV300,11,FALSE)* 90)</f>
      </c>
      <c r="BM11" s="5525">
        <f>IF(HLOOKUP("Mins",A1:CV300,11,FALSE)=0,0,HLOOKUP("Gs - BC",A1:CV300,11,FALSE)/HLOOKUP("Mins",A1:CV300,11,FALSE)* 90)</f>
      </c>
      <c r="BN11" s="5526">
        <f>IF(HLOOKUP("Mins",A1:CV300,11,FALSE)=0,0,HLOOKUP("GIB",A1:CV300,11,FALSE)/HLOOKUP("Mins",A1:CV300,11,FALSE)* 90)</f>
      </c>
      <c r="BO11" s="5527">
        <f>IF(HLOOKUP("Mins",A1:CV300,11,FALSE)=0,0,HLOOKUP("Gs - Open",A1:CV300,11,FALSE)/HLOOKUP("Mins",A1:CV300,11,FALSE)* 90)</f>
      </c>
      <c r="BP11" s="5528">
        <f>IF(HLOOKUP("Mins",A1:CV300,11,FALSE)=0,0,HLOOKUP("ICT Index",A1:CV300,11,FALSE)/HLOOKUP("Mins",A1:CV300,11,FALSE)* 90)</f>
      </c>
      <c r="BQ11" s="5529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5530">
        <f>0.0825*HLOOKUP("KP/90",A1:CV300,11,FALSE)</f>
      </c>
      <c r="BS11" s="5531">
        <f>6*HLOOKUP("xG/90",A1:CV300,11,FALSE)+3*HLOOKUP("xA/90",A1:CV300,11,FALSE)</f>
      </c>
      <c r="BT11" s="5532">
        <f>HLOOKUP("xPts/90",A1:CV300,11,FALSE)-(6*0.75*(HLOOKUP("PK Gs",A1:CV300,11,FALSE)+HLOOKUP("PK Miss",A1:CV300,11,FALSE))*90/HLOOKUP("Mins",A1:CV300,11,FALSE))</f>
      </c>
      <c r="BU11" s="5533">
        <f>IF(HLOOKUP("Mins",A1:CV300,11,FALSE)=0,0,HLOOKUP("fsXG",A1:CV300,11,FALSE)/HLOOKUP("Mins",A1:CV300,11,FALSE)* 90)</f>
      </c>
      <c r="BV11" s="5534">
        <f>IF(HLOOKUP("Mins",A1:CV300,11,FALSE)=0,0,HLOOKUP("fsXA",A1:CV300,11,FALSE)/HLOOKUP("Mins",A1:CV300,11,FALSE)* 90)</f>
      </c>
      <c r="BW11" s="5535">
        <f>6*HLOOKUP("fsXG/90",A1:CV300,11,FALSE)+3*HLOOKUP("fsXA/90",A1:CV300,11,FALSE)</f>
      </c>
      <c r="BX11" t="n" s="5536">
        <v>0.016334714367985725</v>
      </c>
      <c r="BY11" t="n" s="5537">
        <v>0.0</v>
      </c>
      <c r="BZ11" s="5538">
        <f>6*HLOOKUP("uXG/90",A1:CV300,11,FALSE)+3*HLOOKUP("uXA/90",A1:CV300,11,FALSE)</f>
      </c>
    </row>
    <row r="12">
      <c r="A12" t="s" s="5539">
        <v>168</v>
      </c>
      <c r="B12" t="s" s="5540">
        <v>92</v>
      </c>
      <c r="C12" t="n" s="5541">
        <v>4.0</v>
      </c>
      <c r="D12" t="n" s="5542">
        <v>112.0</v>
      </c>
      <c r="E12" t="n" s="5543">
        <v>2.0</v>
      </c>
      <c r="F12" t="n" s="5544">
        <v>3.0</v>
      </c>
      <c r="G12" t="n" s="5545">
        <v>0.0</v>
      </c>
      <c r="H12" t="n" s="5546">
        <v>0.0</v>
      </c>
      <c r="I12" t="n" s="5547">
        <v>25.0</v>
      </c>
      <c r="J12" s="5548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5549">
        <v>0.0</v>
      </c>
      <c r="L12" t="n" s="5550">
        <v>0.0</v>
      </c>
      <c r="M12" t="n" s="5551">
        <v>1.0</v>
      </c>
      <c r="N12" t="n" s="5552">
        <v>1.0</v>
      </c>
      <c r="O12" t="n" s="5553">
        <v>1.0</v>
      </c>
      <c r="P12" s="5554">
        <f>IF(HLOOKUP("Shots",A1:CV300,12,FALSE)=0,0,HLOOKUP("SIB",A1:CV300,12,FALSE)/HLOOKUP("Shots",A1:CV300,12,FALSE))</f>
      </c>
      <c r="Q12" t="n" s="5555">
        <v>0.0</v>
      </c>
      <c r="R12" s="5556">
        <f>IF(HLOOKUP("Shots",A1:CV300,12,FALSE)=0,0,HLOOKUP("S6YD",A1:CV300,12,FALSE)/HLOOKUP("Shots",A1:CV300,12,FALSE))</f>
      </c>
      <c r="S12" t="n" s="5557">
        <v>1.0</v>
      </c>
      <c r="T12" s="5558">
        <f>IF(HLOOKUP("Shots",A1:CV300,12,FALSE)=0,0,HLOOKUP("Headers",A1:CV300,12,FALSE)/HLOOKUP("Shots",A1:CV300,12,FALSE))</f>
      </c>
      <c r="U12" t="n" s="5559">
        <v>0.0</v>
      </c>
      <c r="V12" s="5560">
        <f>IF(HLOOKUP("Shots",A1:CV300,12,FALSE)=0,0,HLOOKUP("SOT",A1:CV300,12,FALSE)/HLOOKUP("Shots",A1:CV300,12,FALSE))</f>
      </c>
      <c r="W12" s="5561">
        <f>IF(HLOOKUP("Shots",A1:CV300,12,FALSE)=0,0,HLOOKUP("Gs",A1:CV300,12,FALSE)/HLOOKUP("Shots",A1:CV300,12,FALSE))</f>
      </c>
      <c r="X12" t="n" s="5562">
        <v>0.0</v>
      </c>
      <c r="Y12" t="n" s="5563">
        <v>0.0</v>
      </c>
      <c r="Z12" t="n" s="5564">
        <v>1.0</v>
      </c>
      <c r="AA12" s="5565">
        <f>IF(HLOOKUP("KP",A1:CV300,12,FALSE)=0,0,HLOOKUP("As",A1:CV300,12,FALSE)/HLOOKUP("KP",A1:CV300,12,FALSE))</f>
      </c>
      <c r="AB12" t="n" s="5566">
        <v>4.3</v>
      </c>
      <c r="AC12" t="n" s="5567">
        <v>0.0</v>
      </c>
      <c r="AD12" t="n" s="5568">
        <v>0.0</v>
      </c>
      <c r="AE12" t="n" s="5569">
        <v>0.0</v>
      </c>
      <c r="AF12" t="n" s="5570">
        <v>0.0</v>
      </c>
      <c r="AG12" s="5571">
        <f>IF(HLOOKUP("BC",A1:CV300,12,FALSE)=0,0,HLOOKUP("Gs - BC",A1:CV300,12,FALSE)/HLOOKUP("BC",A1:CV300,12,FALSE))</f>
      </c>
      <c r="AH12" s="5572">
        <f>HLOOKUP("BC",A1:CV300,12,FALSE) - HLOOKUP("BC Miss",A1:CV300,12,FALSE)</f>
      </c>
      <c r="AI12" s="5573">
        <f>IF(HLOOKUP("Gs",A1:CV300,12,FALSE)=0,0,HLOOKUP("Gs - BC",A1:CV300,12,FALSE)/HLOOKUP("Gs",A1:CV300,12,FALSE))</f>
      </c>
      <c r="AJ12" t="n" s="5574">
        <v>0.0</v>
      </c>
      <c r="AK12" t="n" s="5575">
        <v>0.0</v>
      </c>
      <c r="AL12" s="5576">
        <f>HLOOKUP("BC",A1:CV300,12,FALSE) - (HLOOKUP("PK Gs",A1:CV300,12,FALSE) + HLOOKUP("PK Miss",A1:CV300,12,FALSE))</f>
      </c>
      <c r="AM12" s="5577">
        <f>HLOOKUP("BC Miss",A1:CV300,12,FALSE) - HLOOKUP("PK Miss",A1:CV300,12,FALSE)</f>
      </c>
      <c r="AN12" s="5578">
        <f>IF(HLOOKUP("BC - Open",A1:CV300,12,FALSE)=0,0,HLOOKUP("BC - Open Miss",A1:CV300,12,FALSE)/HLOOKUP("BC - Open",A1:CV300,12,FALSE))</f>
      </c>
      <c r="AO12" t="n" s="5579">
        <v>0.0</v>
      </c>
      <c r="AP12" s="5580">
        <f>IF(HLOOKUP("Gs",A1:CV300,12,FALSE)=0,0,HLOOKUP("GIB",A1:CV300,12,FALSE)/HLOOKUP("Gs",A1:CV300,12,FALSE))</f>
      </c>
      <c r="AQ12" t="n" s="5581">
        <v>0.0</v>
      </c>
      <c r="AR12" s="5582">
        <f>IF(HLOOKUP("Gs",A1:CV300,12,FALSE)=0,0,HLOOKUP("Gs - Open",A1:CV300,12,FALSE)/HLOOKUP("Gs",A1:CV300,12,FALSE))</f>
      </c>
      <c r="AS12" t="n" s="5583">
        <v>0.04</v>
      </c>
      <c r="AT12" t="n" s="5584">
        <v>0.01</v>
      </c>
      <c r="AU12" s="5585">
        <f>IF(HLOOKUP("Mins",A1:CV300,12,FALSE)=0,0,HLOOKUP("Pts",A1:CV300,12,FALSE)/HLOOKUP("Mins",A1:CV300,12,FALSE)* 90)</f>
      </c>
      <c r="AV12" s="5586">
        <f>IF(HLOOKUP("Apps",A1:CV300,12,FALSE)=0,0,HLOOKUP("Pts",A1:CV300,12,FALSE)/HLOOKUP("Apps",A1:CV300,12,FALSE)* 1)</f>
      </c>
      <c r="AW12" s="5587">
        <f>IF(HLOOKUP("Mins",A1:CV300,12,FALSE)=0,0,HLOOKUP("Gs",A1:CV300,12,FALSE)/HLOOKUP("Mins",A1:CV300,12,FALSE)* 90)</f>
      </c>
      <c r="AX12" s="5588">
        <f>IF(HLOOKUP("Mins",A1:CV300,12,FALSE)=0,0,HLOOKUP("Bonus",A1:CV300,12,FALSE)/HLOOKUP("Mins",A1:CV300,12,FALSE)* 90)</f>
      </c>
      <c r="AY12" s="5589">
        <f>IF(HLOOKUP("Mins",A1:CV300,12,FALSE)=0,0,HLOOKUP("BPS",A1:CV300,12,FALSE)/HLOOKUP("Mins",A1:CV300,12,FALSE)* 90)</f>
      </c>
      <c r="AZ12" s="5590">
        <f>IF(HLOOKUP("Mins",A1:CV300,12,FALSE)=0,0,HLOOKUP("Base BPS",A1:CV300,12,FALSE)/HLOOKUP("Mins",A1:CV300,12,FALSE)* 90)</f>
      </c>
      <c r="BA12" s="5591">
        <f>IF(HLOOKUP("Mins",A1:CV300,12,FALSE)=0,0,HLOOKUP("PenTchs",A1:CV300,12,FALSE)/HLOOKUP("Mins",A1:CV300,12,FALSE)* 90)</f>
      </c>
      <c r="BB12" s="5592">
        <f>IF(HLOOKUP("Mins",A1:CV300,12,FALSE)=0,0,HLOOKUP("Shots",A1:CV300,12,FALSE)/HLOOKUP("Mins",A1:CV300,12,FALSE)* 90)</f>
      </c>
      <c r="BC12" s="5593">
        <f>IF(HLOOKUP("Mins",A1:CV300,12,FALSE)=0,0,HLOOKUP("SIB",A1:CV300,12,FALSE)/HLOOKUP("Mins",A1:CV300,12,FALSE)* 90)</f>
      </c>
      <c r="BD12" s="5594">
        <f>IF(HLOOKUP("Mins",A1:CV300,12,FALSE)=0,0,HLOOKUP("S6YD",A1:CV300,12,FALSE)/HLOOKUP("Mins",A1:CV300,12,FALSE)* 90)</f>
      </c>
      <c r="BE12" s="5595">
        <f>IF(HLOOKUP("Mins",A1:CV300,12,FALSE)=0,0,HLOOKUP("Headers",A1:CV300,12,FALSE)/HLOOKUP("Mins",A1:CV300,12,FALSE)* 90)</f>
      </c>
      <c r="BF12" s="5596">
        <f>IF(HLOOKUP("Mins",A1:CV300,12,FALSE)=0,0,HLOOKUP("SOT",A1:CV300,12,FALSE)/HLOOKUP("Mins",A1:CV300,12,FALSE)* 90)</f>
      </c>
      <c r="BG12" s="5597">
        <f>IF(HLOOKUP("Mins",A1:CV300,12,FALSE)=0,0,HLOOKUP("As",A1:CV300,12,FALSE)/HLOOKUP("Mins",A1:CV300,12,FALSE)* 90)</f>
      </c>
      <c r="BH12" s="5598">
        <f>IF(HLOOKUP("Mins",A1:CV300,12,FALSE)=0,0,HLOOKUP("FPL As",A1:CV300,12,FALSE)/HLOOKUP("Mins",A1:CV300,12,FALSE)* 90)</f>
      </c>
      <c r="BI12" s="5599">
        <f>IF(HLOOKUP("Mins",A1:CV300,12,FALSE)=0,0,HLOOKUP("BC Created",A1:CV300,12,FALSE)/HLOOKUP("Mins",A1:CV300,12,FALSE)* 90)</f>
      </c>
      <c r="BJ12" s="5600">
        <f>IF(HLOOKUP("Mins",A1:CV300,12,FALSE)=0,0,HLOOKUP("KP",A1:CV300,12,FALSE)/HLOOKUP("Mins",A1:CV300,12,FALSE)* 90)</f>
      </c>
      <c r="BK12" s="5601">
        <f>IF(HLOOKUP("Mins",A1:CV300,12,FALSE)=0,0,HLOOKUP("BC",A1:CV300,12,FALSE)/HLOOKUP("Mins",A1:CV300,12,FALSE)* 90)</f>
      </c>
      <c r="BL12" s="5602">
        <f>IF(HLOOKUP("Mins",A1:CV300,12,FALSE)=0,0,HLOOKUP("BC Miss",A1:CV300,12,FALSE)/HLOOKUP("Mins",A1:CV300,12,FALSE)* 90)</f>
      </c>
      <c r="BM12" s="5603">
        <f>IF(HLOOKUP("Mins",A1:CV300,12,FALSE)=0,0,HLOOKUP("Gs - BC",A1:CV300,12,FALSE)/HLOOKUP("Mins",A1:CV300,12,FALSE)* 90)</f>
      </c>
      <c r="BN12" s="5604">
        <f>IF(HLOOKUP("Mins",A1:CV300,12,FALSE)=0,0,HLOOKUP("GIB",A1:CV300,12,FALSE)/HLOOKUP("Mins",A1:CV300,12,FALSE)* 90)</f>
      </c>
      <c r="BO12" s="5605">
        <f>IF(HLOOKUP("Mins",A1:CV300,12,FALSE)=0,0,HLOOKUP("Gs - Open",A1:CV300,12,FALSE)/HLOOKUP("Mins",A1:CV300,12,FALSE)* 90)</f>
      </c>
      <c r="BP12" s="5606">
        <f>IF(HLOOKUP("Mins",A1:CV300,12,FALSE)=0,0,HLOOKUP("ICT Index",A1:CV300,12,FALSE)/HLOOKUP("Mins",A1:CV300,12,FALSE)* 90)</f>
      </c>
      <c r="BQ12" s="5607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5608">
        <f>0.0825*HLOOKUP("KP/90",A1:CV300,12,FALSE)</f>
      </c>
      <c r="BS12" s="5609">
        <f>6*HLOOKUP("xG/90",A1:CV300,12,FALSE)+3*HLOOKUP("xA/90",A1:CV300,12,FALSE)</f>
      </c>
      <c r="BT12" s="5610">
        <f>HLOOKUP("xPts/90",A1:CV300,12,FALSE)-(6*0.75*(HLOOKUP("PK Gs",A1:CV300,12,FALSE)+HLOOKUP("PK Miss",A1:CV300,12,FALSE))*90/HLOOKUP("Mins",A1:CV300,12,FALSE))</f>
      </c>
      <c r="BU12" s="5611">
        <f>IF(HLOOKUP("Mins",A1:CV300,12,FALSE)=0,0,HLOOKUP("fsXG",A1:CV300,12,FALSE)/HLOOKUP("Mins",A1:CV300,12,FALSE)* 90)</f>
      </c>
      <c r="BV12" s="5612">
        <f>IF(HLOOKUP("Mins",A1:CV300,12,FALSE)=0,0,HLOOKUP("fsXA",A1:CV300,12,FALSE)/HLOOKUP("Mins",A1:CV300,12,FALSE)* 90)</f>
      </c>
      <c r="BW12" s="5613">
        <f>6*HLOOKUP("fsXG/90",A1:CV300,12,FALSE)+3*HLOOKUP("fsXA/90",A1:CV300,12,FALSE)</f>
      </c>
      <c r="BX12" t="n" s="5614">
        <v>0.0097586028277874</v>
      </c>
      <c r="BY12" t="n" s="5615">
        <v>0.028639255091547966</v>
      </c>
      <c r="BZ12" s="5616">
        <f>6*HLOOKUP("uXG/90",A1:CV300,12,FALSE)+3*HLOOKUP("uXA/90",A1:CV300,12,FALSE)</f>
      </c>
    </row>
    <row r="13">
      <c r="A13" t="s" s="5617">
        <v>169</v>
      </c>
      <c r="B13" t="s" s="5618">
        <v>114</v>
      </c>
      <c r="C13" t="n" s="5619">
        <v>4.900000095367432</v>
      </c>
      <c r="D13" t="n" s="5620">
        <v>145.0</v>
      </c>
      <c r="E13" t="n" s="5621">
        <v>2.0</v>
      </c>
      <c r="F13" t="n" s="5622">
        <v>8.0</v>
      </c>
      <c r="G13" t="n" s="5623">
        <v>0.0</v>
      </c>
      <c r="H13" t="n" s="5624">
        <v>0.0</v>
      </c>
      <c r="I13" t="n" s="5625">
        <v>38.0</v>
      </c>
      <c r="J13" s="5626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5627">
        <v>0.0</v>
      </c>
      <c r="L13" t="n" s="5628">
        <v>0.0</v>
      </c>
      <c r="M13" t="n" s="5629">
        <v>1.0</v>
      </c>
      <c r="N13" t="n" s="5630">
        <v>1.0</v>
      </c>
      <c r="O13" t="n" s="5631">
        <v>0.0</v>
      </c>
      <c r="P13" s="5632">
        <f>IF(HLOOKUP("Shots",A1:CV300,13,FALSE)=0,0,HLOOKUP("SIB",A1:CV300,13,FALSE)/HLOOKUP("Shots",A1:CV300,13,FALSE))</f>
      </c>
      <c r="Q13" t="n" s="5633">
        <v>0.0</v>
      </c>
      <c r="R13" s="5634">
        <f>IF(HLOOKUP("Shots",A1:CV300,13,FALSE)=0,0,HLOOKUP("S6YD",A1:CV300,13,FALSE)/HLOOKUP("Shots",A1:CV300,13,FALSE))</f>
      </c>
      <c r="S13" t="n" s="5635">
        <v>0.0</v>
      </c>
      <c r="T13" s="5636">
        <f>IF(HLOOKUP("Shots",A1:CV300,13,FALSE)=0,0,HLOOKUP("Headers",A1:CV300,13,FALSE)/HLOOKUP("Shots",A1:CV300,13,FALSE))</f>
      </c>
      <c r="U13" t="n" s="5637">
        <v>0.0</v>
      </c>
      <c r="V13" s="5638">
        <f>IF(HLOOKUP("Shots",A1:CV300,13,FALSE)=0,0,HLOOKUP("SOT",A1:CV300,13,FALSE)/HLOOKUP("Shots",A1:CV300,13,FALSE))</f>
      </c>
      <c r="W13" s="5639">
        <f>IF(HLOOKUP("Shots",A1:CV300,13,FALSE)=0,0,HLOOKUP("Gs",A1:CV300,13,FALSE)/HLOOKUP("Shots",A1:CV300,13,FALSE))</f>
      </c>
      <c r="X13" t="n" s="5640">
        <v>0.0</v>
      </c>
      <c r="Y13" t="n" s="5641">
        <v>1.0</v>
      </c>
      <c r="Z13" t="n" s="5642">
        <v>1.0</v>
      </c>
      <c r="AA13" s="5643">
        <f>IF(HLOOKUP("KP",A1:CV300,13,FALSE)=0,0,HLOOKUP("As",A1:CV300,13,FALSE)/HLOOKUP("KP",A1:CV300,13,FALSE))</f>
      </c>
      <c r="AB13" t="n" s="5644">
        <v>5.6</v>
      </c>
      <c r="AC13" t="n" s="5645">
        <v>33.0</v>
      </c>
      <c r="AD13" t="n" s="5646">
        <v>0.0</v>
      </c>
      <c r="AE13" t="n" s="5647">
        <v>0.0</v>
      </c>
      <c r="AF13" t="n" s="5648">
        <v>0.0</v>
      </c>
      <c r="AG13" s="5649">
        <f>IF(HLOOKUP("BC",A1:CV300,13,FALSE)=0,0,HLOOKUP("Gs - BC",A1:CV300,13,FALSE)/HLOOKUP("BC",A1:CV300,13,FALSE))</f>
      </c>
      <c r="AH13" s="5650">
        <f>HLOOKUP("BC",A1:CV300,13,FALSE) - HLOOKUP("BC Miss",A1:CV300,13,FALSE)</f>
      </c>
      <c r="AI13" s="5651">
        <f>IF(HLOOKUP("Gs",A1:CV300,13,FALSE)=0,0,HLOOKUP("Gs - BC",A1:CV300,13,FALSE)/HLOOKUP("Gs",A1:CV300,13,FALSE))</f>
      </c>
      <c r="AJ13" t="n" s="5652">
        <v>0.0</v>
      </c>
      <c r="AK13" t="n" s="5653">
        <v>0.0</v>
      </c>
      <c r="AL13" s="5654">
        <f>HLOOKUP("BC",A1:CV300,13,FALSE) - (HLOOKUP("PK Gs",A1:CV300,13,FALSE) + HLOOKUP("PK Miss",A1:CV300,13,FALSE))</f>
      </c>
      <c r="AM13" s="5655">
        <f>HLOOKUP("BC Miss",A1:CV300,13,FALSE) - HLOOKUP("PK Miss",A1:CV300,13,FALSE)</f>
      </c>
      <c r="AN13" s="5656">
        <f>IF(HLOOKUP("BC - Open",A1:CV300,13,FALSE)=0,0,HLOOKUP("BC - Open Miss",A1:CV300,13,FALSE)/HLOOKUP("BC - Open",A1:CV300,13,FALSE))</f>
      </c>
      <c r="AO13" t="n" s="5657">
        <v>0.0</v>
      </c>
      <c r="AP13" s="5658">
        <f>IF(HLOOKUP("Gs",A1:CV300,13,FALSE)=0,0,HLOOKUP("GIB",A1:CV300,13,FALSE)/HLOOKUP("Gs",A1:CV300,13,FALSE))</f>
      </c>
      <c r="AQ13" t="n" s="5659">
        <v>0.0</v>
      </c>
      <c r="AR13" s="5660">
        <f>IF(HLOOKUP("Gs",A1:CV300,13,FALSE)=0,0,HLOOKUP("Gs - Open",A1:CV300,13,FALSE)/HLOOKUP("Gs",A1:CV300,13,FALSE))</f>
      </c>
      <c r="AS13" t="n" s="5661">
        <v>0.05</v>
      </c>
      <c r="AT13" t="n" s="5662">
        <v>0.16</v>
      </c>
      <c r="AU13" s="5663">
        <f>IF(HLOOKUP("Mins",A1:CV300,13,FALSE)=0,0,HLOOKUP("Pts",A1:CV300,13,FALSE)/HLOOKUP("Mins",A1:CV300,13,FALSE)* 90)</f>
      </c>
      <c r="AV13" s="5664">
        <f>IF(HLOOKUP("Apps",A1:CV300,13,FALSE)=0,0,HLOOKUP("Pts",A1:CV300,13,FALSE)/HLOOKUP("Apps",A1:CV300,13,FALSE)* 1)</f>
      </c>
      <c r="AW13" s="5665">
        <f>IF(HLOOKUP("Mins",A1:CV300,13,FALSE)=0,0,HLOOKUP("Gs",A1:CV300,13,FALSE)/HLOOKUP("Mins",A1:CV300,13,FALSE)* 90)</f>
      </c>
      <c r="AX13" s="5666">
        <f>IF(HLOOKUP("Mins",A1:CV300,13,FALSE)=0,0,HLOOKUP("Bonus",A1:CV300,13,FALSE)/HLOOKUP("Mins",A1:CV300,13,FALSE)* 90)</f>
      </c>
      <c r="AY13" s="5667">
        <f>IF(HLOOKUP("Mins",A1:CV300,13,FALSE)=0,0,HLOOKUP("BPS",A1:CV300,13,FALSE)/HLOOKUP("Mins",A1:CV300,13,FALSE)* 90)</f>
      </c>
      <c r="AZ13" s="5668">
        <f>IF(HLOOKUP("Mins",A1:CV300,13,FALSE)=0,0,HLOOKUP("Base BPS",A1:CV300,13,FALSE)/HLOOKUP("Mins",A1:CV300,13,FALSE)* 90)</f>
      </c>
      <c r="BA13" s="5669">
        <f>IF(HLOOKUP("Mins",A1:CV300,13,FALSE)=0,0,HLOOKUP("PenTchs",A1:CV300,13,FALSE)/HLOOKUP("Mins",A1:CV300,13,FALSE)* 90)</f>
      </c>
      <c r="BB13" s="5670">
        <f>IF(HLOOKUP("Mins",A1:CV300,13,FALSE)=0,0,HLOOKUP("Shots",A1:CV300,13,FALSE)/HLOOKUP("Mins",A1:CV300,13,FALSE)* 90)</f>
      </c>
      <c r="BC13" s="5671">
        <f>IF(HLOOKUP("Mins",A1:CV300,13,FALSE)=0,0,HLOOKUP("SIB",A1:CV300,13,FALSE)/HLOOKUP("Mins",A1:CV300,13,FALSE)* 90)</f>
      </c>
      <c r="BD13" s="5672">
        <f>IF(HLOOKUP("Mins",A1:CV300,13,FALSE)=0,0,HLOOKUP("S6YD",A1:CV300,13,FALSE)/HLOOKUP("Mins",A1:CV300,13,FALSE)* 90)</f>
      </c>
      <c r="BE13" s="5673">
        <f>IF(HLOOKUP("Mins",A1:CV300,13,FALSE)=0,0,HLOOKUP("Headers",A1:CV300,13,FALSE)/HLOOKUP("Mins",A1:CV300,13,FALSE)* 90)</f>
      </c>
      <c r="BF13" s="5674">
        <f>IF(HLOOKUP("Mins",A1:CV300,13,FALSE)=0,0,HLOOKUP("SOT",A1:CV300,13,FALSE)/HLOOKUP("Mins",A1:CV300,13,FALSE)* 90)</f>
      </c>
      <c r="BG13" s="5675">
        <f>IF(HLOOKUP("Mins",A1:CV300,13,FALSE)=0,0,HLOOKUP("As",A1:CV300,13,FALSE)/HLOOKUP("Mins",A1:CV300,13,FALSE)* 90)</f>
      </c>
      <c r="BH13" s="5676">
        <f>IF(HLOOKUP("Mins",A1:CV300,13,FALSE)=0,0,HLOOKUP("FPL As",A1:CV300,13,FALSE)/HLOOKUP("Mins",A1:CV300,13,FALSE)* 90)</f>
      </c>
      <c r="BI13" s="5677">
        <f>IF(HLOOKUP("Mins",A1:CV300,13,FALSE)=0,0,HLOOKUP("BC Created",A1:CV300,13,FALSE)/HLOOKUP("Mins",A1:CV300,13,FALSE)* 90)</f>
      </c>
      <c r="BJ13" s="5678">
        <f>IF(HLOOKUP("Mins",A1:CV300,13,FALSE)=0,0,HLOOKUP("KP",A1:CV300,13,FALSE)/HLOOKUP("Mins",A1:CV300,13,FALSE)* 90)</f>
      </c>
      <c r="BK13" s="5679">
        <f>IF(HLOOKUP("Mins",A1:CV300,13,FALSE)=0,0,HLOOKUP("BC",A1:CV300,13,FALSE)/HLOOKUP("Mins",A1:CV300,13,FALSE)* 90)</f>
      </c>
      <c r="BL13" s="5680">
        <f>IF(HLOOKUP("Mins",A1:CV300,13,FALSE)=0,0,HLOOKUP("BC Miss",A1:CV300,13,FALSE)/HLOOKUP("Mins",A1:CV300,13,FALSE)* 90)</f>
      </c>
      <c r="BM13" s="5681">
        <f>IF(HLOOKUP("Mins",A1:CV300,13,FALSE)=0,0,HLOOKUP("Gs - BC",A1:CV300,13,FALSE)/HLOOKUP("Mins",A1:CV300,13,FALSE)* 90)</f>
      </c>
      <c r="BN13" s="5682">
        <f>IF(HLOOKUP("Mins",A1:CV300,13,FALSE)=0,0,HLOOKUP("GIB",A1:CV300,13,FALSE)/HLOOKUP("Mins",A1:CV300,13,FALSE)* 90)</f>
      </c>
      <c r="BO13" s="5683">
        <f>IF(HLOOKUP("Mins",A1:CV300,13,FALSE)=0,0,HLOOKUP("Gs - Open",A1:CV300,13,FALSE)/HLOOKUP("Mins",A1:CV300,13,FALSE)* 90)</f>
      </c>
      <c r="BP13" s="5684">
        <f>IF(HLOOKUP("Mins",A1:CV300,13,FALSE)=0,0,HLOOKUP("ICT Index",A1:CV300,13,FALSE)/HLOOKUP("Mins",A1:CV300,13,FALSE)* 90)</f>
      </c>
      <c r="BQ13" s="5685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5686">
        <f>0.0825*HLOOKUP("KP/90",A1:CV300,13,FALSE)</f>
      </c>
      <c r="BS13" s="5687">
        <f>6*HLOOKUP("xG/90",A1:CV300,13,FALSE)+3*HLOOKUP("xA/90",A1:CV300,13,FALSE)</f>
      </c>
      <c r="BT13" s="5688">
        <f>HLOOKUP("xPts/90",A1:CV300,13,FALSE)-(6*0.75*(HLOOKUP("PK Gs",A1:CV300,13,FALSE)+HLOOKUP("PK Miss",A1:CV300,13,FALSE))*90/HLOOKUP("Mins",A1:CV300,13,FALSE))</f>
      </c>
      <c r="BU13" s="5689">
        <f>IF(HLOOKUP("Mins",A1:CV300,13,FALSE)=0,0,HLOOKUP("fsXG",A1:CV300,13,FALSE)/HLOOKUP("Mins",A1:CV300,13,FALSE)* 90)</f>
      </c>
      <c r="BV13" s="5690">
        <f>IF(HLOOKUP("Mins",A1:CV300,13,FALSE)=0,0,HLOOKUP("fsXA",A1:CV300,13,FALSE)/HLOOKUP("Mins",A1:CV300,13,FALSE)* 90)</f>
      </c>
      <c r="BW13" s="5691">
        <f>6*HLOOKUP("fsXG/90",A1:CV300,13,FALSE)+3*HLOOKUP("fsXA/90",A1:CV300,13,FALSE)</f>
      </c>
      <c r="BX13" t="n" s="5692">
        <v>0.02654717117547989</v>
      </c>
      <c r="BY13" t="n" s="5693">
        <v>0.04316706955432892</v>
      </c>
      <c r="BZ13" s="5694">
        <f>6*HLOOKUP("uXG/90",A1:CV300,13,FALSE)+3*HLOOKUP("uXA/90",A1:CV300,13,FALSE)</f>
      </c>
    </row>
    <row r="14">
      <c r="A14" t="s" s="5695">
        <v>170</v>
      </c>
      <c r="B14" t="s" s="5696">
        <v>80</v>
      </c>
      <c r="C14" t="n" s="5697">
        <v>5.199999809265137</v>
      </c>
      <c r="D14" t="n" s="5698">
        <v>199.0</v>
      </c>
      <c r="E14" t="n" s="5699">
        <v>3.0</v>
      </c>
      <c r="F14" t="n" s="5700">
        <v>34.0</v>
      </c>
      <c r="G14" t="n" s="5701">
        <v>0.0</v>
      </c>
      <c r="H14" t="n" s="5702">
        <v>1.0</v>
      </c>
      <c r="I14" t="n" s="5703">
        <v>219.0</v>
      </c>
      <c r="J14" s="5704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5705">
        <v>0.0</v>
      </c>
      <c r="L14" t="n" s="5706">
        <v>2.0</v>
      </c>
      <c r="M14" t="n" s="5707">
        <v>7.0</v>
      </c>
      <c r="N14" t="n" s="5708">
        <v>0.0</v>
      </c>
      <c r="O14" t="n" s="5709">
        <v>0.0</v>
      </c>
      <c r="P14" s="5710">
        <f>IF(HLOOKUP("Shots",A1:CV300,14,FALSE)=0,0,HLOOKUP("SIB",A1:CV300,14,FALSE)/HLOOKUP("Shots",A1:CV300,14,FALSE))</f>
      </c>
      <c r="Q14" t="n" s="5711">
        <v>0.0</v>
      </c>
      <c r="R14" s="5712">
        <f>IF(HLOOKUP("Shots",A1:CV300,14,FALSE)=0,0,HLOOKUP("S6YD",A1:CV300,14,FALSE)/HLOOKUP("Shots",A1:CV300,14,FALSE))</f>
      </c>
      <c r="S14" t="n" s="5713">
        <v>0.0</v>
      </c>
      <c r="T14" s="5714">
        <f>IF(HLOOKUP("Shots",A1:CV300,14,FALSE)=0,0,HLOOKUP("Headers",A1:CV300,14,FALSE)/HLOOKUP("Shots",A1:CV300,14,FALSE))</f>
      </c>
      <c r="U14" t="n" s="5715">
        <v>0.0</v>
      </c>
      <c r="V14" s="5716">
        <f>IF(HLOOKUP("Shots",A1:CV300,14,FALSE)=0,0,HLOOKUP("SOT",A1:CV300,14,FALSE)/HLOOKUP("Shots",A1:CV300,14,FALSE))</f>
      </c>
      <c r="W14" s="5717">
        <f>IF(HLOOKUP("Shots",A1:CV300,14,FALSE)=0,0,HLOOKUP("Gs",A1:CV300,14,FALSE)/HLOOKUP("Shots",A1:CV300,14,FALSE))</f>
      </c>
      <c r="X14" t="n" s="5718">
        <v>0.0</v>
      </c>
      <c r="Y14" t="n" s="5719">
        <v>2.0</v>
      </c>
      <c r="Z14" t="n" s="5720">
        <v>0.0</v>
      </c>
      <c r="AA14" s="5721">
        <f>IF(HLOOKUP("KP",A1:CV300,14,FALSE)=0,0,HLOOKUP("As",A1:CV300,14,FALSE)/HLOOKUP("KP",A1:CV300,14,FALSE))</f>
      </c>
      <c r="AB14" t="n" s="5722">
        <v>3.9</v>
      </c>
      <c r="AC14" t="n" s="5723">
        <v>0.0</v>
      </c>
      <c r="AD14" t="n" s="5724">
        <v>0.0</v>
      </c>
      <c r="AE14" t="n" s="5725">
        <v>0.0</v>
      </c>
      <c r="AF14" t="n" s="5726">
        <v>0.0</v>
      </c>
      <c r="AG14" s="5727">
        <f>IF(HLOOKUP("BC",A1:CV300,14,FALSE)=0,0,HLOOKUP("Gs - BC",A1:CV300,14,FALSE)/HLOOKUP("BC",A1:CV300,14,FALSE))</f>
      </c>
      <c r="AH14" s="5728">
        <f>HLOOKUP("BC",A1:CV300,14,FALSE) - HLOOKUP("BC Miss",A1:CV300,14,FALSE)</f>
      </c>
      <c r="AI14" s="5729">
        <f>IF(HLOOKUP("Gs",A1:CV300,14,FALSE)=0,0,HLOOKUP("Gs - BC",A1:CV300,14,FALSE)/HLOOKUP("Gs",A1:CV300,14,FALSE))</f>
      </c>
      <c r="AJ14" t="n" s="5730">
        <v>0.0</v>
      </c>
      <c r="AK14" t="n" s="5731">
        <v>0.0</v>
      </c>
      <c r="AL14" s="5732">
        <f>HLOOKUP("BC",A1:CV300,14,FALSE) - (HLOOKUP("PK Gs",A1:CV300,14,FALSE) + HLOOKUP("PK Miss",A1:CV300,14,FALSE))</f>
      </c>
      <c r="AM14" s="5733">
        <f>HLOOKUP("BC Miss",A1:CV300,14,FALSE) - HLOOKUP("PK Miss",A1:CV300,14,FALSE)</f>
      </c>
      <c r="AN14" s="5734">
        <f>IF(HLOOKUP("BC - Open",A1:CV300,14,FALSE)=0,0,HLOOKUP("BC - Open Miss",A1:CV300,14,FALSE)/HLOOKUP("BC - Open",A1:CV300,14,FALSE))</f>
      </c>
      <c r="AO14" t="n" s="5735">
        <v>0.0</v>
      </c>
      <c r="AP14" s="5736">
        <f>IF(HLOOKUP("Gs",A1:CV300,14,FALSE)=0,0,HLOOKUP("GIB",A1:CV300,14,FALSE)/HLOOKUP("Gs",A1:CV300,14,FALSE))</f>
      </c>
      <c r="AQ14" t="n" s="5737">
        <v>0.0</v>
      </c>
      <c r="AR14" s="5738">
        <f>IF(HLOOKUP("Gs",A1:CV300,14,FALSE)=0,0,HLOOKUP("Gs - Open",A1:CV300,14,FALSE)/HLOOKUP("Gs",A1:CV300,14,FALSE))</f>
      </c>
      <c r="AS14" t="n" s="5739">
        <v>0.0</v>
      </c>
      <c r="AT14" t="n" s="5740">
        <v>0.11</v>
      </c>
      <c r="AU14" s="5741">
        <f>IF(HLOOKUP("Mins",A1:CV300,14,FALSE)=0,0,HLOOKUP("Pts",A1:CV300,14,FALSE)/HLOOKUP("Mins",A1:CV300,14,FALSE)* 90)</f>
      </c>
      <c r="AV14" s="5742">
        <f>IF(HLOOKUP("Apps",A1:CV300,14,FALSE)=0,0,HLOOKUP("Pts",A1:CV300,14,FALSE)/HLOOKUP("Apps",A1:CV300,14,FALSE)* 1)</f>
      </c>
      <c r="AW14" s="5743">
        <f>IF(HLOOKUP("Mins",A1:CV300,14,FALSE)=0,0,HLOOKUP("Gs",A1:CV300,14,FALSE)/HLOOKUP("Mins",A1:CV300,14,FALSE)* 90)</f>
      </c>
      <c r="AX14" s="5744">
        <f>IF(HLOOKUP("Mins",A1:CV300,14,FALSE)=0,0,HLOOKUP("Bonus",A1:CV300,14,FALSE)/HLOOKUP("Mins",A1:CV300,14,FALSE)* 90)</f>
      </c>
      <c r="AY14" s="5745">
        <f>IF(HLOOKUP("Mins",A1:CV300,14,FALSE)=0,0,HLOOKUP("BPS",A1:CV300,14,FALSE)/HLOOKUP("Mins",A1:CV300,14,FALSE)* 90)</f>
      </c>
      <c r="AZ14" s="5746">
        <f>IF(HLOOKUP("Mins",A1:CV300,14,FALSE)=0,0,HLOOKUP("Base BPS",A1:CV300,14,FALSE)/HLOOKUP("Mins",A1:CV300,14,FALSE)* 90)</f>
      </c>
      <c r="BA14" s="5747">
        <f>IF(HLOOKUP("Mins",A1:CV300,14,FALSE)=0,0,HLOOKUP("PenTchs",A1:CV300,14,FALSE)/HLOOKUP("Mins",A1:CV300,14,FALSE)* 90)</f>
      </c>
      <c r="BB14" s="5748">
        <f>IF(HLOOKUP("Mins",A1:CV300,14,FALSE)=0,0,HLOOKUP("Shots",A1:CV300,14,FALSE)/HLOOKUP("Mins",A1:CV300,14,FALSE)* 90)</f>
      </c>
      <c r="BC14" s="5749">
        <f>IF(HLOOKUP("Mins",A1:CV300,14,FALSE)=0,0,HLOOKUP("SIB",A1:CV300,14,FALSE)/HLOOKUP("Mins",A1:CV300,14,FALSE)* 90)</f>
      </c>
      <c r="BD14" s="5750">
        <f>IF(HLOOKUP("Mins",A1:CV300,14,FALSE)=0,0,HLOOKUP("S6YD",A1:CV300,14,FALSE)/HLOOKUP("Mins",A1:CV300,14,FALSE)* 90)</f>
      </c>
      <c r="BE14" s="5751">
        <f>IF(HLOOKUP("Mins",A1:CV300,14,FALSE)=0,0,HLOOKUP("Headers",A1:CV300,14,FALSE)/HLOOKUP("Mins",A1:CV300,14,FALSE)* 90)</f>
      </c>
      <c r="BF14" s="5752">
        <f>IF(HLOOKUP("Mins",A1:CV300,14,FALSE)=0,0,HLOOKUP("SOT",A1:CV300,14,FALSE)/HLOOKUP("Mins",A1:CV300,14,FALSE)* 90)</f>
      </c>
      <c r="BG14" s="5753">
        <f>IF(HLOOKUP("Mins",A1:CV300,14,FALSE)=0,0,HLOOKUP("As",A1:CV300,14,FALSE)/HLOOKUP("Mins",A1:CV300,14,FALSE)* 90)</f>
      </c>
      <c r="BH14" s="5754">
        <f>IF(HLOOKUP("Mins",A1:CV300,14,FALSE)=0,0,HLOOKUP("FPL As",A1:CV300,14,FALSE)/HLOOKUP("Mins",A1:CV300,14,FALSE)* 90)</f>
      </c>
      <c r="BI14" s="5755">
        <f>IF(HLOOKUP("Mins",A1:CV300,14,FALSE)=0,0,HLOOKUP("BC Created",A1:CV300,14,FALSE)/HLOOKUP("Mins",A1:CV300,14,FALSE)* 90)</f>
      </c>
      <c r="BJ14" s="5756">
        <f>IF(HLOOKUP("Mins",A1:CV300,14,FALSE)=0,0,HLOOKUP("KP",A1:CV300,14,FALSE)/HLOOKUP("Mins",A1:CV300,14,FALSE)* 90)</f>
      </c>
      <c r="BK14" s="5757">
        <f>IF(HLOOKUP("Mins",A1:CV300,14,FALSE)=0,0,HLOOKUP("BC",A1:CV300,14,FALSE)/HLOOKUP("Mins",A1:CV300,14,FALSE)* 90)</f>
      </c>
      <c r="BL14" s="5758">
        <f>IF(HLOOKUP("Mins",A1:CV300,14,FALSE)=0,0,HLOOKUP("BC Miss",A1:CV300,14,FALSE)/HLOOKUP("Mins",A1:CV300,14,FALSE)* 90)</f>
      </c>
      <c r="BM14" s="5759">
        <f>IF(HLOOKUP("Mins",A1:CV300,14,FALSE)=0,0,HLOOKUP("Gs - BC",A1:CV300,14,FALSE)/HLOOKUP("Mins",A1:CV300,14,FALSE)* 90)</f>
      </c>
      <c r="BN14" s="5760">
        <f>IF(HLOOKUP("Mins",A1:CV300,14,FALSE)=0,0,HLOOKUP("GIB",A1:CV300,14,FALSE)/HLOOKUP("Mins",A1:CV300,14,FALSE)* 90)</f>
      </c>
      <c r="BO14" s="5761">
        <f>IF(HLOOKUP("Mins",A1:CV300,14,FALSE)=0,0,HLOOKUP("Gs - Open",A1:CV300,14,FALSE)/HLOOKUP("Mins",A1:CV300,14,FALSE)* 90)</f>
      </c>
      <c r="BP14" s="5762">
        <f>IF(HLOOKUP("Mins",A1:CV300,14,FALSE)=0,0,HLOOKUP("ICT Index",A1:CV300,14,FALSE)/HLOOKUP("Mins",A1:CV300,14,FALSE)* 90)</f>
      </c>
      <c r="BQ14" s="5763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5764">
        <f>0.0825*HLOOKUP("KP/90",A1:CV300,14,FALSE)</f>
      </c>
      <c r="BS14" s="5765">
        <f>6*HLOOKUP("xG/90",A1:CV300,14,FALSE)+3*HLOOKUP("xA/90",A1:CV300,14,FALSE)</f>
      </c>
      <c r="BT14" s="5766">
        <f>HLOOKUP("xPts/90",A1:CV300,14,FALSE)-(6*0.75*(HLOOKUP("PK Gs",A1:CV300,14,FALSE)+HLOOKUP("PK Miss",A1:CV300,14,FALSE))*90/HLOOKUP("Mins",A1:CV300,14,FALSE))</f>
      </c>
      <c r="BU14" s="5767">
        <f>IF(HLOOKUP("Mins",A1:CV300,14,FALSE)=0,0,HLOOKUP("fsXG",A1:CV300,14,FALSE)/HLOOKUP("Mins",A1:CV300,14,FALSE)* 90)</f>
      </c>
      <c r="BV14" s="5768">
        <f>IF(HLOOKUP("Mins",A1:CV300,14,FALSE)=0,0,HLOOKUP("fsXA",A1:CV300,14,FALSE)/HLOOKUP("Mins",A1:CV300,14,FALSE)* 90)</f>
      </c>
      <c r="BW14" s="5769">
        <f>6*HLOOKUP("fsXG/90",A1:CV300,14,FALSE)+3*HLOOKUP("fsXA/90",A1:CV300,14,FALSE)</f>
      </c>
      <c r="BX14" t="n" s="5770">
        <v>0.0</v>
      </c>
      <c r="BY14" t="n" s="5771">
        <v>0.0</v>
      </c>
      <c r="BZ14" s="5772">
        <f>6*HLOOKUP("uXG/90",A1:CV300,14,FALSE)+3*HLOOKUP("uXA/90",A1:CV300,14,FALSE)</f>
      </c>
    </row>
    <row r="15">
      <c r="A15" t="s" s="5773">
        <v>171</v>
      </c>
      <c r="B15" t="s" s="5774">
        <v>147</v>
      </c>
      <c r="C15" t="n" s="5775">
        <v>6.0</v>
      </c>
      <c r="D15" t="n" s="5776">
        <v>90.0</v>
      </c>
      <c r="E15" t="n" s="5777">
        <v>1.0</v>
      </c>
      <c r="F15" t="n" s="5778">
        <v>47.0</v>
      </c>
      <c r="G15" t="n" s="5779">
        <v>0.0</v>
      </c>
      <c r="H15" t="n" s="5780">
        <v>5.0</v>
      </c>
      <c r="I15" t="n" s="5781">
        <v>181.0</v>
      </c>
      <c r="J15" s="5782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5783">
        <v>0.0</v>
      </c>
      <c r="L15" t="n" s="5784">
        <v>4.0</v>
      </c>
      <c r="M15" t="n" s="5785">
        <v>3.0</v>
      </c>
      <c r="N15" t="n" s="5786">
        <v>2.0</v>
      </c>
      <c r="O15" t="n" s="5787">
        <v>0.0</v>
      </c>
      <c r="P15" s="5788">
        <f>IF(HLOOKUP("Shots",A1:CV300,15,FALSE)=0,0,HLOOKUP("SIB",A1:CV300,15,FALSE)/HLOOKUP("Shots",A1:CV300,15,FALSE))</f>
      </c>
      <c r="Q15" t="n" s="5789">
        <v>0.0</v>
      </c>
      <c r="R15" s="5790">
        <f>IF(HLOOKUP("Shots",A1:CV300,15,FALSE)=0,0,HLOOKUP("S6YD",A1:CV300,15,FALSE)/HLOOKUP("Shots",A1:CV300,15,FALSE))</f>
      </c>
      <c r="S15" t="n" s="5791">
        <v>0.0</v>
      </c>
      <c r="T15" s="5792">
        <f>IF(HLOOKUP("Shots",A1:CV300,15,FALSE)=0,0,HLOOKUP("Headers",A1:CV300,15,FALSE)/HLOOKUP("Shots",A1:CV300,15,FALSE))</f>
      </c>
      <c r="U15" t="n" s="5793">
        <v>1.0</v>
      </c>
      <c r="V15" s="5794">
        <f>IF(HLOOKUP("Shots",A1:CV300,15,FALSE)=0,0,HLOOKUP("SOT",A1:CV300,15,FALSE)/HLOOKUP("Shots",A1:CV300,15,FALSE))</f>
      </c>
      <c r="W15" s="5795">
        <f>IF(HLOOKUP("Shots",A1:CV300,15,FALSE)=0,0,HLOOKUP("Gs",A1:CV300,15,FALSE)/HLOOKUP("Shots",A1:CV300,15,FALSE))</f>
      </c>
      <c r="X15" t="n" s="5796">
        <v>0.0</v>
      </c>
      <c r="Y15" t="n" s="5797">
        <v>3.0</v>
      </c>
      <c r="Z15" t="n" s="5798">
        <v>1.0</v>
      </c>
      <c r="AA15" s="5799">
        <f>IF(HLOOKUP("KP",A1:CV300,15,FALSE)=0,0,HLOOKUP("As",A1:CV300,15,FALSE)/HLOOKUP("KP",A1:CV300,15,FALSE))</f>
      </c>
      <c r="AB15" t="n" s="5800">
        <v>6.3</v>
      </c>
      <c r="AC15" t="n" s="5801">
        <v>50.0</v>
      </c>
      <c r="AD15" t="n" s="5802">
        <v>0.0</v>
      </c>
      <c r="AE15" t="n" s="5803">
        <v>0.0</v>
      </c>
      <c r="AF15" t="n" s="5804">
        <v>0.0</v>
      </c>
      <c r="AG15" s="5805">
        <f>IF(HLOOKUP("BC",A1:CV300,15,FALSE)=0,0,HLOOKUP("Gs - BC",A1:CV300,15,FALSE)/HLOOKUP("BC",A1:CV300,15,FALSE))</f>
      </c>
      <c r="AH15" s="5806">
        <f>HLOOKUP("BC",A1:CV300,15,FALSE) - HLOOKUP("BC Miss",A1:CV300,15,FALSE)</f>
      </c>
      <c r="AI15" s="5807">
        <f>IF(HLOOKUP("Gs",A1:CV300,15,FALSE)=0,0,HLOOKUP("Gs - BC",A1:CV300,15,FALSE)/HLOOKUP("Gs",A1:CV300,15,FALSE))</f>
      </c>
      <c r="AJ15" t="n" s="5808">
        <v>0.0</v>
      </c>
      <c r="AK15" t="n" s="5809">
        <v>0.0</v>
      </c>
      <c r="AL15" s="5810">
        <f>HLOOKUP("BC",A1:CV300,15,FALSE) - (HLOOKUP("PK Gs",A1:CV300,15,FALSE) + HLOOKUP("PK Miss",A1:CV300,15,FALSE))</f>
      </c>
      <c r="AM15" s="5811">
        <f>HLOOKUP("BC Miss",A1:CV300,15,FALSE) - HLOOKUP("PK Miss",A1:CV300,15,FALSE)</f>
      </c>
      <c r="AN15" s="5812">
        <f>IF(HLOOKUP("BC - Open",A1:CV300,15,FALSE)=0,0,HLOOKUP("BC - Open Miss",A1:CV300,15,FALSE)/HLOOKUP("BC - Open",A1:CV300,15,FALSE))</f>
      </c>
      <c r="AO15" t="n" s="5813">
        <v>0.0</v>
      </c>
      <c r="AP15" s="5814">
        <f>IF(HLOOKUP("Gs",A1:CV300,15,FALSE)=0,0,HLOOKUP("GIB",A1:CV300,15,FALSE)/HLOOKUP("Gs",A1:CV300,15,FALSE))</f>
      </c>
      <c r="AQ15" t="n" s="5815">
        <v>0.0</v>
      </c>
      <c r="AR15" s="5816">
        <f>IF(HLOOKUP("Gs",A1:CV300,15,FALSE)=0,0,HLOOKUP("Gs - Open",A1:CV300,15,FALSE)/HLOOKUP("Gs",A1:CV300,15,FALSE))</f>
      </c>
      <c r="AS15" t="n" s="5817">
        <v>0.07</v>
      </c>
      <c r="AT15" t="n" s="5818">
        <v>0.06</v>
      </c>
      <c r="AU15" s="5819">
        <f>IF(HLOOKUP("Mins",A1:CV300,15,FALSE)=0,0,HLOOKUP("Pts",A1:CV300,15,FALSE)/HLOOKUP("Mins",A1:CV300,15,FALSE)* 90)</f>
      </c>
      <c r="AV15" s="5820">
        <f>IF(HLOOKUP("Apps",A1:CV300,15,FALSE)=0,0,HLOOKUP("Pts",A1:CV300,15,FALSE)/HLOOKUP("Apps",A1:CV300,15,FALSE)* 1)</f>
      </c>
      <c r="AW15" s="5821">
        <f>IF(HLOOKUP("Mins",A1:CV300,15,FALSE)=0,0,HLOOKUP("Gs",A1:CV300,15,FALSE)/HLOOKUP("Mins",A1:CV300,15,FALSE)* 90)</f>
      </c>
      <c r="AX15" s="5822">
        <f>IF(HLOOKUP("Mins",A1:CV300,15,FALSE)=0,0,HLOOKUP("Bonus",A1:CV300,15,FALSE)/HLOOKUP("Mins",A1:CV300,15,FALSE)* 90)</f>
      </c>
      <c r="AY15" s="5823">
        <f>IF(HLOOKUP("Mins",A1:CV300,15,FALSE)=0,0,HLOOKUP("BPS",A1:CV300,15,FALSE)/HLOOKUP("Mins",A1:CV300,15,FALSE)* 90)</f>
      </c>
      <c r="AZ15" s="5824">
        <f>IF(HLOOKUP("Mins",A1:CV300,15,FALSE)=0,0,HLOOKUP("Base BPS",A1:CV300,15,FALSE)/HLOOKUP("Mins",A1:CV300,15,FALSE)* 90)</f>
      </c>
      <c r="BA15" s="5825">
        <f>IF(HLOOKUP("Mins",A1:CV300,15,FALSE)=0,0,HLOOKUP("PenTchs",A1:CV300,15,FALSE)/HLOOKUP("Mins",A1:CV300,15,FALSE)* 90)</f>
      </c>
      <c r="BB15" s="5826">
        <f>IF(HLOOKUP("Mins",A1:CV300,15,FALSE)=0,0,HLOOKUP("Shots",A1:CV300,15,FALSE)/HLOOKUP("Mins",A1:CV300,15,FALSE)* 90)</f>
      </c>
      <c r="BC15" s="5827">
        <f>IF(HLOOKUP("Mins",A1:CV300,15,FALSE)=0,0,HLOOKUP("SIB",A1:CV300,15,FALSE)/HLOOKUP("Mins",A1:CV300,15,FALSE)* 90)</f>
      </c>
      <c r="BD15" s="5828">
        <f>IF(HLOOKUP("Mins",A1:CV300,15,FALSE)=0,0,HLOOKUP("S6YD",A1:CV300,15,FALSE)/HLOOKUP("Mins",A1:CV300,15,FALSE)* 90)</f>
      </c>
      <c r="BE15" s="5829">
        <f>IF(HLOOKUP("Mins",A1:CV300,15,FALSE)=0,0,HLOOKUP("Headers",A1:CV300,15,FALSE)/HLOOKUP("Mins",A1:CV300,15,FALSE)* 90)</f>
      </c>
      <c r="BF15" s="5830">
        <f>IF(HLOOKUP("Mins",A1:CV300,15,FALSE)=0,0,HLOOKUP("SOT",A1:CV300,15,FALSE)/HLOOKUP("Mins",A1:CV300,15,FALSE)* 90)</f>
      </c>
      <c r="BG15" s="5831">
        <f>IF(HLOOKUP("Mins",A1:CV300,15,FALSE)=0,0,HLOOKUP("As",A1:CV300,15,FALSE)/HLOOKUP("Mins",A1:CV300,15,FALSE)* 90)</f>
      </c>
      <c r="BH15" s="5832">
        <f>IF(HLOOKUP("Mins",A1:CV300,15,FALSE)=0,0,HLOOKUP("FPL As",A1:CV300,15,FALSE)/HLOOKUP("Mins",A1:CV300,15,FALSE)* 90)</f>
      </c>
      <c r="BI15" s="5833">
        <f>IF(HLOOKUP("Mins",A1:CV300,15,FALSE)=0,0,HLOOKUP("BC Created",A1:CV300,15,FALSE)/HLOOKUP("Mins",A1:CV300,15,FALSE)* 90)</f>
      </c>
      <c r="BJ15" s="5834">
        <f>IF(HLOOKUP("Mins",A1:CV300,15,FALSE)=0,0,HLOOKUP("KP",A1:CV300,15,FALSE)/HLOOKUP("Mins",A1:CV300,15,FALSE)* 90)</f>
      </c>
      <c r="BK15" s="5835">
        <f>IF(HLOOKUP("Mins",A1:CV300,15,FALSE)=0,0,HLOOKUP("BC",A1:CV300,15,FALSE)/HLOOKUP("Mins",A1:CV300,15,FALSE)* 90)</f>
      </c>
      <c r="BL15" s="5836">
        <f>IF(HLOOKUP("Mins",A1:CV300,15,FALSE)=0,0,HLOOKUP("BC Miss",A1:CV300,15,FALSE)/HLOOKUP("Mins",A1:CV300,15,FALSE)* 90)</f>
      </c>
      <c r="BM15" s="5837">
        <f>IF(HLOOKUP("Mins",A1:CV300,15,FALSE)=0,0,HLOOKUP("Gs - BC",A1:CV300,15,FALSE)/HLOOKUP("Mins",A1:CV300,15,FALSE)* 90)</f>
      </c>
      <c r="BN15" s="5838">
        <f>IF(HLOOKUP("Mins",A1:CV300,15,FALSE)=0,0,HLOOKUP("GIB",A1:CV300,15,FALSE)/HLOOKUP("Mins",A1:CV300,15,FALSE)* 90)</f>
      </c>
      <c r="BO15" s="5839">
        <f>IF(HLOOKUP("Mins",A1:CV300,15,FALSE)=0,0,HLOOKUP("Gs - Open",A1:CV300,15,FALSE)/HLOOKUP("Mins",A1:CV300,15,FALSE)* 90)</f>
      </c>
      <c r="BP15" s="5840">
        <f>IF(HLOOKUP("Mins",A1:CV300,15,FALSE)=0,0,HLOOKUP("ICT Index",A1:CV300,15,FALSE)/HLOOKUP("Mins",A1:CV300,15,FALSE)* 90)</f>
      </c>
      <c r="BQ15" s="5841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5842">
        <f>0.0825*HLOOKUP("KP/90",A1:CV300,15,FALSE)</f>
      </c>
      <c r="BS15" s="5843">
        <f>6*HLOOKUP("xG/90",A1:CV300,15,FALSE)+3*HLOOKUP("xA/90",A1:CV300,15,FALSE)</f>
      </c>
      <c r="BT15" s="5844">
        <f>HLOOKUP("xPts/90",A1:CV300,15,FALSE)-(6*0.75*(HLOOKUP("PK Gs",A1:CV300,15,FALSE)+HLOOKUP("PK Miss",A1:CV300,15,FALSE))*90/HLOOKUP("Mins",A1:CV300,15,FALSE))</f>
      </c>
      <c r="BU15" s="5845">
        <f>IF(HLOOKUP("Mins",A1:CV300,15,FALSE)=0,0,HLOOKUP("fsXG",A1:CV300,15,FALSE)/HLOOKUP("Mins",A1:CV300,15,FALSE)* 90)</f>
      </c>
      <c r="BV15" s="5846">
        <f>IF(HLOOKUP("Mins",A1:CV300,15,FALSE)=0,0,HLOOKUP("fsXA",A1:CV300,15,FALSE)/HLOOKUP("Mins",A1:CV300,15,FALSE)* 90)</f>
      </c>
      <c r="BW15" s="5847">
        <f>6*HLOOKUP("fsXG/90",A1:CV300,15,FALSE)+3*HLOOKUP("fsXA/90",A1:CV300,15,FALSE)</f>
      </c>
      <c r="BX15" t="n" s="5848">
        <v>0.09021849930286407</v>
      </c>
      <c r="BY15" t="n" s="5849">
        <v>0.07162401080131531</v>
      </c>
      <c r="BZ15" s="5850">
        <f>6*HLOOKUP("uXG/90",A1:CV300,15,FALSE)+3*HLOOKUP("uXA/90",A1:CV300,15,FALSE)</f>
      </c>
    </row>
    <row r="16">
      <c r="A16" t="s" s="5851">
        <v>172</v>
      </c>
      <c r="B16" t="s" s="5852">
        <v>105</v>
      </c>
      <c r="C16" t="n" s="5853">
        <v>5.0</v>
      </c>
      <c r="D16" t="n" s="5854">
        <v>297.0</v>
      </c>
      <c r="E16" t="n" s="5855">
        <v>4.0</v>
      </c>
      <c r="F16" t="n" s="5856">
        <v>47.0</v>
      </c>
      <c r="G16" t="n" s="5857">
        <v>0.0</v>
      </c>
      <c r="H16" t="n" s="5858">
        <v>2.0</v>
      </c>
      <c r="I16" t="n" s="5859">
        <v>219.0</v>
      </c>
      <c r="J16" s="5860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5861">
        <v>0.0</v>
      </c>
      <c r="L16" t="n" s="5862">
        <v>3.0</v>
      </c>
      <c r="M16" t="n" s="5863">
        <v>1.0</v>
      </c>
      <c r="N16" t="n" s="5864">
        <v>1.0</v>
      </c>
      <c r="O16" t="n" s="5865">
        <v>1.0</v>
      </c>
      <c r="P16" s="5866">
        <f>IF(HLOOKUP("Shots",A1:CV300,16,FALSE)=0,0,HLOOKUP("SIB",A1:CV300,16,FALSE)/HLOOKUP("Shots",A1:CV300,16,FALSE))</f>
      </c>
      <c r="Q16" t="n" s="5867">
        <v>1.0</v>
      </c>
      <c r="R16" s="5868">
        <f>IF(HLOOKUP("Shots",A1:CV300,16,FALSE)=0,0,HLOOKUP("S6YD",A1:CV300,16,FALSE)/HLOOKUP("Shots",A1:CV300,16,FALSE))</f>
      </c>
      <c r="S16" t="n" s="5869">
        <v>1.0</v>
      </c>
      <c r="T16" s="5870">
        <f>IF(HLOOKUP("Shots",A1:CV300,16,FALSE)=0,0,HLOOKUP("Headers",A1:CV300,16,FALSE)/HLOOKUP("Shots",A1:CV300,16,FALSE))</f>
      </c>
      <c r="U16" t="n" s="5871">
        <v>0.0</v>
      </c>
      <c r="V16" s="5872">
        <f>IF(HLOOKUP("Shots",A1:CV300,16,FALSE)=0,0,HLOOKUP("SOT",A1:CV300,16,FALSE)/HLOOKUP("Shots",A1:CV300,16,FALSE))</f>
      </c>
      <c r="W16" s="5873">
        <f>IF(HLOOKUP("Shots",A1:CV300,16,FALSE)=0,0,HLOOKUP("Gs",A1:CV300,16,FALSE)/HLOOKUP("Shots",A1:CV300,16,FALSE))</f>
      </c>
      <c r="X16" t="n" s="5874">
        <v>0.0</v>
      </c>
      <c r="Y16" t="n" s="5875">
        <v>1.0</v>
      </c>
      <c r="Z16" t="n" s="5876">
        <v>0.0</v>
      </c>
      <c r="AA16" s="5877">
        <f>IF(HLOOKUP("KP",A1:CV300,16,FALSE)=0,0,HLOOKUP("As",A1:CV300,16,FALSE)/HLOOKUP("KP",A1:CV300,16,FALSE))</f>
      </c>
      <c r="AB16" t="n" s="5878">
        <v>8.2</v>
      </c>
      <c r="AC16" t="n" s="5879">
        <v>0.0</v>
      </c>
      <c r="AD16" t="n" s="5880">
        <v>0.0</v>
      </c>
      <c r="AE16" t="n" s="5881">
        <v>0.0</v>
      </c>
      <c r="AF16" t="n" s="5882">
        <v>0.0</v>
      </c>
      <c r="AG16" s="5883">
        <f>IF(HLOOKUP("BC",A1:CV300,16,FALSE)=0,0,HLOOKUP("Gs - BC",A1:CV300,16,FALSE)/HLOOKUP("BC",A1:CV300,16,FALSE))</f>
      </c>
      <c r="AH16" s="5884">
        <f>HLOOKUP("BC",A1:CV300,16,FALSE) - HLOOKUP("BC Miss",A1:CV300,16,FALSE)</f>
      </c>
      <c r="AI16" s="5885">
        <f>IF(HLOOKUP("Gs",A1:CV300,16,FALSE)=0,0,HLOOKUP("Gs - BC",A1:CV300,16,FALSE)/HLOOKUP("Gs",A1:CV300,16,FALSE))</f>
      </c>
      <c r="AJ16" t="n" s="5886">
        <v>0.0</v>
      </c>
      <c r="AK16" t="n" s="5887">
        <v>0.0</v>
      </c>
      <c r="AL16" s="5888">
        <f>HLOOKUP("BC",A1:CV300,16,FALSE) - (HLOOKUP("PK Gs",A1:CV300,16,FALSE) + HLOOKUP("PK Miss",A1:CV300,16,FALSE))</f>
      </c>
      <c r="AM16" s="5889">
        <f>HLOOKUP("BC Miss",A1:CV300,16,FALSE) - HLOOKUP("PK Miss",A1:CV300,16,FALSE)</f>
      </c>
      <c r="AN16" s="5890">
        <f>IF(HLOOKUP("BC - Open",A1:CV300,16,FALSE)=0,0,HLOOKUP("BC - Open Miss",A1:CV300,16,FALSE)/HLOOKUP("BC - Open",A1:CV300,16,FALSE))</f>
      </c>
      <c r="AO16" t="n" s="5891">
        <v>0.0</v>
      </c>
      <c r="AP16" s="5892">
        <f>IF(HLOOKUP("Gs",A1:CV300,16,FALSE)=0,0,HLOOKUP("GIB",A1:CV300,16,FALSE)/HLOOKUP("Gs",A1:CV300,16,FALSE))</f>
      </c>
      <c r="AQ16" t="n" s="5893">
        <v>0.0</v>
      </c>
      <c r="AR16" s="5894">
        <f>IF(HLOOKUP("Gs",A1:CV300,16,FALSE)=0,0,HLOOKUP("Gs - Open",A1:CV300,16,FALSE)/HLOOKUP("Gs",A1:CV300,16,FALSE))</f>
      </c>
      <c r="AS16" t="n" s="5895">
        <v>0.19</v>
      </c>
      <c r="AT16" t="n" s="5896">
        <v>0.01</v>
      </c>
      <c r="AU16" s="5897">
        <f>IF(HLOOKUP("Mins",A1:CV300,16,FALSE)=0,0,HLOOKUP("Pts",A1:CV300,16,FALSE)/HLOOKUP("Mins",A1:CV300,16,FALSE)* 90)</f>
      </c>
      <c r="AV16" s="5898">
        <f>IF(HLOOKUP("Apps",A1:CV300,16,FALSE)=0,0,HLOOKUP("Pts",A1:CV300,16,FALSE)/HLOOKUP("Apps",A1:CV300,16,FALSE)* 1)</f>
      </c>
      <c r="AW16" s="5899">
        <f>IF(HLOOKUP("Mins",A1:CV300,16,FALSE)=0,0,HLOOKUP("Gs",A1:CV300,16,FALSE)/HLOOKUP("Mins",A1:CV300,16,FALSE)* 90)</f>
      </c>
      <c r="AX16" s="5900">
        <f>IF(HLOOKUP("Mins",A1:CV300,16,FALSE)=0,0,HLOOKUP("Bonus",A1:CV300,16,FALSE)/HLOOKUP("Mins",A1:CV300,16,FALSE)* 90)</f>
      </c>
      <c r="AY16" s="5901">
        <f>IF(HLOOKUP("Mins",A1:CV300,16,FALSE)=0,0,HLOOKUP("BPS",A1:CV300,16,FALSE)/HLOOKUP("Mins",A1:CV300,16,FALSE)* 90)</f>
      </c>
      <c r="AZ16" s="5902">
        <f>IF(HLOOKUP("Mins",A1:CV300,16,FALSE)=0,0,HLOOKUP("Base BPS",A1:CV300,16,FALSE)/HLOOKUP("Mins",A1:CV300,16,FALSE)* 90)</f>
      </c>
      <c r="BA16" s="5903">
        <f>IF(HLOOKUP("Mins",A1:CV300,16,FALSE)=0,0,HLOOKUP("PenTchs",A1:CV300,16,FALSE)/HLOOKUP("Mins",A1:CV300,16,FALSE)* 90)</f>
      </c>
      <c r="BB16" s="5904">
        <f>IF(HLOOKUP("Mins",A1:CV300,16,FALSE)=0,0,HLOOKUP("Shots",A1:CV300,16,FALSE)/HLOOKUP("Mins",A1:CV300,16,FALSE)* 90)</f>
      </c>
      <c r="BC16" s="5905">
        <f>IF(HLOOKUP("Mins",A1:CV300,16,FALSE)=0,0,HLOOKUP("SIB",A1:CV300,16,FALSE)/HLOOKUP("Mins",A1:CV300,16,FALSE)* 90)</f>
      </c>
      <c r="BD16" s="5906">
        <f>IF(HLOOKUP("Mins",A1:CV300,16,FALSE)=0,0,HLOOKUP("S6YD",A1:CV300,16,FALSE)/HLOOKUP("Mins",A1:CV300,16,FALSE)* 90)</f>
      </c>
      <c r="BE16" s="5907">
        <f>IF(HLOOKUP("Mins",A1:CV300,16,FALSE)=0,0,HLOOKUP("Headers",A1:CV300,16,FALSE)/HLOOKUP("Mins",A1:CV300,16,FALSE)* 90)</f>
      </c>
      <c r="BF16" s="5908">
        <f>IF(HLOOKUP("Mins",A1:CV300,16,FALSE)=0,0,HLOOKUP("SOT",A1:CV300,16,FALSE)/HLOOKUP("Mins",A1:CV300,16,FALSE)* 90)</f>
      </c>
      <c r="BG16" s="5909">
        <f>IF(HLOOKUP("Mins",A1:CV300,16,FALSE)=0,0,HLOOKUP("As",A1:CV300,16,FALSE)/HLOOKUP("Mins",A1:CV300,16,FALSE)* 90)</f>
      </c>
      <c r="BH16" s="5910">
        <f>IF(HLOOKUP("Mins",A1:CV300,16,FALSE)=0,0,HLOOKUP("FPL As",A1:CV300,16,FALSE)/HLOOKUP("Mins",A1:CV300,16,FALSE)* 90)</f>
      </c>
      <c r="BI16" s="5911">
        <f>IF(HLOOKUP("Mins",A1:CV300,16,FALSE)=0,0,HLOOKUP("BC Created",A1:CV300,16,FALSE)/HLOOKUP("Mins",A1:CV300,16,FALSE)* 90)</f>
      </c>
      <c r="BJ16" s="5912">
        <f>IF(HLOOKUP("Mins",A1:CV300,16,FALSE)=0,0,HLOOKUP("KP",A1:CV300,16,FALSE)/HLOOKUP("Mins",A1:CV300,16,FALSE)* 90)</f>
      </c>
      <c r="BK16" s="5913">
        <f>IF(HLOOKUP("Mins",A1:CV300,16,FALSE)=0,0,HLOOKUP("BC",A1:CV300,16,FALSE)/HLOOKUP("Mins",A1:CV300,16,FALSE)* 90)</f>
      </c>
      <c r="BL16" s="5914">
        <f>IF(HLOOKUP("Mins",A1:CV300,16,FALSE)=0,0,HLOOKUP("BC Miss",A1:CV300,16,FALSE)/HLOOKUP("Mins",A1:CV300,16,FALSE)* 90)</f>
      </c>
      <c r="BM16" s="5915">
        <f>IF(HLOOKUP("Mins",A1:CV300,16,FALSE)=0,0,HLOOKUP("Gs - BC",A1:CV300,16,FALSE)/HLOOKUP("Mins",A1:CV300,16,FALSE)* 90)</f>
      </c>
      <c r="BN16" s="5916">
        <f>IF(HLOOKUP("Mins",A1:CV300,16,FALSE)=0,0,HLOOKUP("GIB",A1:CV300,16,FALSE)/HLOOKUP("Mins",A1:CV300,16,FALSE)* 90)</f>
      </c>
      <c r="BO16" s="5917">
        <f>IF(HLOOKUP("Mins",A1:CV300,16,FALSE)=0,0,HLOOKUP("Gs - Open",A1:CV300,16,FALSE)/HLOOKUP("Mins",A1:CV300,16,FALSE)* 90)</f>
      </c>
      <c r="BP16" s="5918">
        <f>IF(HLOOKUP("Mins",A1:CV300,16,FALSE)=0,0,HLOOKUP("ICT Index",A1:CV300,16,FALSE)/HLOOKUP("Mins",A1:CV300,16,FALSE)* 90)</f>
      </c>
      <c r="BQ16" s="5919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5920">
        <f>0.0825*HLOOKUP("KP/90",A1:CV300,16,FALSE)</f>
      </c>
      <c r="BS16" s="5921">
        <f>6*HLOOKUP("xG/90",A1:CV300,16,FALSE)+3*HLOOKUP("xA/90",A1:CV300,16,FALSE)</f>
      </c>
      <c r="BT16" s="5922">
        <f>HLOOKUP("xPts/90",A1:CV300,16,FALSE)-(6*0.75*(HLOOKUP("PK Gs",A1:CV300,16,FALSE)+HLOOKUP("PK Miss",A1:CV300,16,FALSE))*90/HLOOKUP("Mins",A1:CV300,16,FALSE))</f>
      </c>
      <c r="BU16" s="5923">
        <f>IF(HLOOKUP("Mins",A1:CV300,16,FALSE)=0,0,HLOOKUP("fsXG",A1:CV300,16,FALSE)/HLOOKUP("Mins",A1:CV300,16,FALSE)* 90)</f>
      </c>
      <c r="BV16" s="5924">
        <f>IF(HLOOKUP("Mins",A1:CV300,16,FALSE)=0,0,HLOOKUP("fsXA",A1:CV300,16,FALSE)/HLOOKUP("Mins",A1:CV300,16,FALSE)* 90)</f>
      </c>
      <c r="BW16" s="5925">
        <f>6*HLOOKUP("fsXG/90",A1:CV300,16,FALSE)+3*HLOOKUP("fsXA/90",A1:CV300,16,FALSE)</f>
      </c>
      <c r="BX16" t="n" s="5926">
        <v>0.023207582533359528</v>
      </c>
      <c r="BY16" t="n" s="5927">
        <v>0.0</v>
      </c>
      <c r="BZ16" s="5928">
        <f>6*HLOOKUP("uXG/90",A1:CV300,16,FALSE)+3*HLOOKUP("uXA/90",A1:CV300,16,FALSE)</f>
      </c>
    </row>
    <row r="17">
      <c r="A17" t="s" s="5929">
        <v>173</v>
      </c>
      <c r="B17" t="s" s="5930">
        <v>117</v>
      </c>
      <c r="C17" t="n" s="5931">
        <v>4.300000190734863</v>
      </c>
      <c r="D17" t="n" s="5932">
        <v>431.0</v>
      </c>
      <c r="E17" t="n" s="5933">
        <v>5.0</v>
      </c>
      <c r="F17" t="n" s="5934">
        <v>46.0</v>
      </c>
      <c r="G17" t="n" s="5935">
        <v>0.0</v>
      </c>
      <c r="H17" t="n" s="5936">
        <v>3.0</v>
      </c>
      <c r="I17" t="n" s="5937">
        <v>220.0</v>
      </c>
      <c r="J17" s="5938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5939">
        <v>0.0</v>
      </c>
      <c r="L17" t="n" s="5940">
        <v>6.0</v>
      </c>
      <c r="M17" t="n" s="5941">
        <v>3.0</v>
      </c>
      <c r="N17" t="n" s="5942">
        <v>1.0</v>
      </c>
      <c r="O17" t="n" s="5943">
        <v>1.0</v>
      </c>
      <c r="P17" s="5944">
        <f>IF(HLOOKUP("Shots",A1:CV300,17,FALSE)=0,0,HLOOKUP("SIB",A1:CV300,17,FALSE)/HLOOKUP("Shots",A1:CV300,17,FALSE))</f>
      </c>
      <c r="Q17" t="n" s="5945">
        <v>0.0</v>
      </c>
      <c r="R17" s="5946">
        <f>IF(HLOOKUP("Shots",A1:CV300,17,FALSE)=0,0,HLOOKUP("S6YD",A1:CV300,17,FALSE)/HLOOKUP("Shots",A1:CV300,17,FALSE))</f>
      </c>
      <c r="S17" t="n" s="5947">
        <v>0.0</v>
      </c>
      <c r="T17" s="5948">
        <f>IF(HLOOKUP("Shots",A1:CV300,17,FALSE)=0,0,HLOOKUP("Headers",A1:CV300,17,FALSE)/HLOOKUP("Shots",A1:CV300,17,FALSE))</f>
      </c>
      <c r="U17" t="n" s="5949">
        <v>1.0</v>
      </c>
      <c r="V17" s="5950">
        <f>IF(HLOOKUP("Shots",A1:CV300,17,FALSE)=0,0,HLOOKUP("SOT",A1:CV300,17,FALSE)/HLOOKUP("Shots",A1:CV300,17,FALSE))</f>
      </c>
      <c r="W17" s="5951">
        <f>IF(HLOOKUP("Shots",A1:CV300,17,FALSE)=0,0,HLOOKUP("Gs",A1:CV300,17,FALSE)/HLOOKUP("Shots",A1:CV300,17,FALSE))</f>
      </c>
      <c r="X17" t="n" s="5952">
        <v>1.0</v>
      </c>
      <c r="Y17" t="n" s="5953">
        <v>1.0</v>
      </c>
      <c r="Z17" t="n" s="5954">
        <v>2.0</v>
      </c>
      <c r="AA17" s="5955">
        <f>IF(HLOOKUP("KP",A1:CV300,17,FALSE)=0,0,HLOOKUP("As",A1:CV300,17,FALSE)/HLOOKUP("KP",A1:CV300,17,FALSE))</f>
      </c>
      <c r="AB17" t="n" s="5956">
        <v>14.4</v>
      </c>
      <c r="AC17" t="n" s="5957">
        <v>12.0</v>
      </c>
      <c r="AD17" t="n" s="5958">
        <v>0.0</v>
      </c>
      <c r="AE17" t="n" s="5959">
        <v>1.0</v>
      </c>
      <c r="AF17" t="n" s="5960">
        <v>1.0</v>
      </c>
      <c r="AG17" s="5961">
        <f>IF(HLOOKUP("BC",A1:CV300,17,FALSE)=0,0,HLOOKUP("Gs - BC",A1:CV300,17,FALSE)/HLOOKUP("BC",A1:CV300,17,FALSE))</f>
      </c>
      <c r="AH17" s="5962">
        <f>HLOOKUP("BC",A1:CV300,17,FALSE) - HLOOKUP("BC Miss",A1:CV300,17,FALSE)</f>
      </c>
      <c r="AI17" s="5963">
        <f>IF(HLOOKUP("Gs",A1:CV300,17,FALSE)=0,0,HLOOKUP("Gs - BC",A1:CV300,17,FALSE)/HLOOKUP("Gs",A1:CV300,17,FALSE))</f>
      </c>
      <c r="AJ17" t="n" s="5964">
        <v>0.0</v>
      </c>
      <c r="AK17" t="n" s="5965">
        <v>0.0</v>
      </c>
      <c r="AL17" s="5966">
        <f>HLOOKUP("BC",A1:CV300,17,FALSE) - (HLOOKUP("PK Gs",A1:CV300,17,FALSE) + HLOOKUP("PK Miss",A1:CV300,17,FALSE))</f>
      </c>
      <c r="AM17" s="5967">
        <f>HLOOKUP("BC Miss",A1:CV300,17,FALSE) - HLOOKUP("PK Miss",A1:CV300,17,FALSE)</f>
      </c>
      <c r="AN17" s="5968">
        <f>IF(HLOOKUP("BC - Open",A1:CV300,17,FALSE)=0,0,HLOOKUP("BC - Open Miss",A1:CV300,17,FALSE)/HLOOKUP("BC - Open",A1:CV300,17,FALSE))</f>
      </c>
      <c r="AO17" t="n" s="5969">
        <v>0.0</v>
      </c>
      <c r="AP17" s="5970">
        <f>IF(HLOOKUP("Gs",A1:CV300,17,FALSE)=0,0,HLOOKUP("GIB",A1:CV300,17,FALSE)/HLOOKUP("Gs",A1:CV300,17,FALSE))</f>
      </c>
      <c r="AQ17" t="n" s="5971">
        <v>0.0</v>
      </c>
      <c r="AR17" s="5972">
        <f>IF(HLOOKUP("Gs",A1:CV300,17,FALSE)=0,0,HLOOKUP("Gs - Open",A1:CV300,17,FALSE)/HLOOKUP("Gs",A1:CV300,17,FALSE))</f>
      </c>
      <c r="AS17" t="n" s="5973">
        <v>0.14</v>
      </c>
      <c r="AT17" t="n" s="5974">
        <v>0.05</v>
      </c>
      <c r="AU17" s="5975">
        <f>IF(HLOOKUP("Mins",A1:CV300,17,FALSE)=0,0,HLOOKUP("Pts",A1:CV300,17,FALSE)/HLOOKUP("Mins",A1:CV300,17,FALSE)* 90)</f>
      </c>
      <c r="AV17" s="5976">
        <f>IF(HLOOKUP("Apps",A1:CV300,17,FALSE)=0,0,HLOOKUP("Pts",A1:CV300,17,FALSE)/HLOOKUP("Apps",A1:CV300,17,FALSE)* 1)</f>
      </c>
      <c r="AW17" s="5977">
        <f>IF(HLOOKUP("Mins",A1:CV300,17,FALSE)=0,0,HLOOKUP("Gs",A1:CV300,17,FALSE)/HLOOKUP("Mins",A1:CV300,17,FALSE)* 90)</f>
      </c>
      <c r="AX17" s="5978">
        <f>IF(HLOOKUP("Mins",A1:CV300,17,FALSE)=0,0,HLOOKUP("Bonus",A1:CV300,17,FALSE)/HLOOKUP("Mins",A1:CV300,17,FALSE)* 90)</f>
      </c>
      <c r="AY17" s="5979">
        <f>IF(HLOOKUP("Mins",A1:CV300,17,FALSE)=0,0,HLOOKUP("BPS",A1:CV300,17,FALSE)/HLOOKUP("Mins",A1:CV300,17,FALSE)* 90)</f>
      </c>
      <c r="AZ17" s="5980">
        <f>IF(HLOOKUP("Mins",A1:CV300,17,FALSE)=0,0,HLOOKUP("Base BPS",A1:CV300,17,FALSE)/HLOOKUP("Mins",A1:CV300,17,FALSE)* 90)</f>
      </c>
      <c r="BA17" s="5981">
        <f>IF(HLOOKUP("Mins",A1:CV300,17,FALSE)=0,0,HLOOKUP("PenTchs",A1:CV300,17,FALSE)/HLOOKUP("Mins",A1:CV300,17,FALSE)* 90)</f>
      </c>
      <c r="BB17" s="5982">
        <f>IF(HLOOKUP("Mins",A1:CV300,17,FALSE)=0,0,HLOOKUP("Shots",A1:CV300,17,FALSE)/HLOOKUP("Mins",A1:CV300,17,FALSE)* 90)</f>
      </c>
      <c r="BC17" s="5983">
        <f>IF(HLOOKUP("Mins",A1:CV300,17,FALSE)=0,0,HLOOKUP("SIB",A1:CV300,17,FALSE)/HLOOKUP("Mins",A1:CV300,17,FALSE)* 90)</f>
      </c>
      <c r="BD17" s="5984">
        <f>IF(HLOOKUP("Mins",A1:CV300,17,FALSE)=0,0,HLOOKUP("S6YD",A1:CV300,17,FALSE)/HLOOKUP("Mins",A1:CV300,17,FALSE)* 90)</f>
      </c>
      <c r="BE17" s="5985">
        <f>IF(HLOOKUP("Mins",A1:CV300,17,FALSE)=0,0,HLOOKUP("Headers",A1:CV300,17,FALSE)/HLOOKUP("Mins",A1:CV300,17,FALSE)* 90)</f>
      </c>
      <c r="BF17" s="5986">
        <f>IF(HLOOKUP("Mins",A1:CV300,17,FALSE)=0,0,HLOOKUP("SOT",A1:CV300,17,FALSE)/HLOOKUP("Mins",A1:CV300,17,FALSE)* 90)</f>
      </c>
      <c r="BG17" s="5987">
        <f>IF(HLOOKUP("Mins",A1:CV300,17,FALSE)=0,0,HLOOKUP("As",A1:CV300,17,FALSE)/HLOOKUP("Mins",A1:CV300,17,FALSE)* 90)</f>
      </c>
      <c r="BH17" s="5988">
        <f>IF(HLOOKUP("Mins",A1:CV300,17,FALSE)=0,0,HLOOKUP("FPL As",A1:CV300,17,FALSE)/HLOOKUP("Mins",A1:CV300,17,FALSE)* 90)</f>
      </c>
      <c r="BI17" s="5989">
        <f>IF(HLOOKUP("Mins",A1:CV300,17,FALSE)=0,0,HLOOKUP("BC Created",A1:CV300,17,FALSE)/HLOOKUP("Mins",A1:CV300,17,FALSE)* 90)</f>
      </c>
      <c r="BJ17" s="5990">
        <f>IF(HLOOKUP("Mins",A1:CV300,17,FALSE)=0,0,HLOOKUP("KP",A1:CV300,17,FALSE)/HLOOKUP("Mins",A1:CV300,17,FALSE)* 90)</f>
      </c>
      <c r="BK17" s="5991">
        <f>IF(HLOOKUP("Mins",A1:CV300,17,FALSE)=0,0,HLOOKUP("BC",A1:CV300,17,FALSE)/HLOOKUP("Mins",A1:CV300,17,FALSE)* 90)</f>
      </c>
      <c r="BL17" s="5992">
        <f>IF(HLOOKUP("Mins",A1:CV300,17,FALSE)=0,0,HLOOKUP("BC Miss",A1:CV300,17,FALSE)/HLOOKUP("Mins",A1:CV300,17,FALSE)* 90)</f>
      </c>
      <c r="BM17" s="5993">
        <f>IF(HLOOKUP("Mins",A1:CV300,17,FALSE)=0,0,HLOOKUP("Gs - BC",A1:CV300,17,FALSE)/HLOOKUP("Mins",A1:CV300,17,FALSE)* 90)</f>
      </c>
      <c r="BN17" s="5994">
        <f>IF(HLOOKUP("Mins",A1:CV300,17,FALSE)=0,0,HLOOKUP("GIB",A1:CV300,17,FALSE)/HLOOKUP("Mins",A1:CV300,17,FALSE)* 90)</f>
      </c>
      <c r="BO17" s="5995">
        <f>IF(HLOOKUP("Mins",A1:CV300,17,FALSE)=0,0,HLOOKUP("Gs - Open",A1:CV300,17,FALSE)/HLOOKUP("Mins",A1:CV300,17,FALSE)* 90)</f>
      </c>
      <c r="BP17" s="5996">
        <f>IF(HLOOKUP("Mins",A1:CV300,17,FALSE)=0,0,HLOOKUP("ICT Index",A1:CV300,17,FALSE)/HLOOKUP("Mins",A1:CV300,17,FALSE)* 90)</f>
      </c>
      <c r="BQ17" s="5997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5998">
        <f>0.0825*HLOOKUP("KP/90",A1:CV300,17,FALSE)</f>
      </c>
      <c r="BS17" s="5999">
        <f>6*HLOOKUP("xG/90",A1:CV300,17,FALSE)+3*HLOOKUP("xA/90",A1:CV300,17,FALSE)</f>
      </c>
      <c r="BT17" s="6000">
        <f>HLOOKUP("xPts/90",A1:CV300,17,FALSE)-(6*0.75*(HLOOKUP("PK Gs",A1:CV300,17,FALSE)+HLOOKUP("PK Miss",A1:CV300,17,FALSE))*90/HLOOKUP("Mins",A1:CV300,17,FALSE))</f>
      </c>
      <c r="BU17" s="6001">
        <f>IF(HLOOKUP("Mins",A1:CV300,17,FALSE)=0,0,HLOOKUP("fsXG",A1:CV300,17,FALSE)/HLOOKUP("Mins",A1:CV300,17,FALSE)* 90)</f>
      </c>
      <c r="BV17" s="6002">
        <f>IF(HLOOKUP("Mins",A1:CV300,17,FALSE)=0,0,HLOOKUP("fsXA",A1:CV300,17,FALSE)/HLOOKUP("Mins",A1:CV300,17,FALSE)* 90)</f>
      </c>
      <c r="BW17" s="6003">
        <f>6*HLOOKUP("fsXG/90",A1:CV300,17,FALSE)+3*HLOOKUP("fsXA/90",A1:CV300,17,FALSE)</f>
      </c>
      <c r="BX17" t="n" s="6004">
        <v>0.08093245327472687</v>
      </c>
      <c r="BY17" t="n" s="6005">
        <v>0.015365783125162125</v>
      </c>
      <c r="BZ17" s="6006">
        <f>6*HLOOKUP("uXG/90",A1:CV300,17,FALSE)+3*HLOOKUP("uXA/90",A1:CV300,17,FALSE)</f>
      </c>
    </row>
    <row r="18">
      <c r="A18" t="s" s="6007">
        <v>174</v>
      </c>
      <c r="B18" t="s" s="6008">
        <v>92</v>
      </c>
      <c r="C18" t="n" s="6009">
        <v>4.300000190734863</v>
      </c>
      <c r="D18" t="n" s="6010">
        <v>90.0</v>
      </c>
      <c r="E18" t="n" s="6011">
        <v>1.0</v>
      </c>
      <c r="F18" t="n" s="6012">
        <v>32.0</v>
      </c>
      <c r="G18" t="n" s="6013">
        <v>0.0</v>
      </c>
      <c r="H18" t="n" s="6014">
        <v>3.0</v>
      </c>
      <c r="I18" t="n" s="6015">
        <v>173.0</v>
      </c>
      <c r="J18" s="6016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6017">
        <v>0.0</v>
      </c>
      <c r="L18" t="n" s="6018">
        <v>3.0</v>
      </c>
      <c r="M18" t="n" s="6019">
        <v>1.0</v>
      </c>
      <c r="N18" t="n" s="6020">
        <v>1.0</v>
      </c>
      <c r="O18" t="n" s="6021">
        <v>0.0</v>
      </c>
      <c r="P18" s="6022">
        <f>IF(HLOOKUP("Shots",A1:CV300,18,FALSE)=0,0,HLOOKUP("SIB",A1:CV300,18,FALSE)/HLOOKUP("Shots",A1:CV300,18,FALSE))</f>
      </c>
      <c r="Q18" t="n" s="6023">
        <v>0.0</v>
      </c>
      <c r="R18" s="6024">
        <f>IF(HLOOKUP("Shots",A1:CV300,18,FALSE)=0,0,HLOOKUP("S6YD",A1:CV300,18,FALSE)/HLOOKUP("Shots",A1:CV300,18,FALSE))</f>
      </c>
      <c r="S18" t="n" s="6025">
        <v>0.0</v>
      </c>
      <c r="T18" s="6026">
        <f>IF(HLOOKUP("Shots",A1:CV300,18,FALSE)=0,0,HLOOKUP("Headers",A1:CV300,18,FALSE)/HLOOKUP("Shots",A1:CV300,18,FALSE))</f>
      </c>
      <c r="U18" t="n" s="6027">
        <v>0.0</v>
      </c>
      <c r="V18" s="6028">
        <f>IF(HLOOKUP("Shots",A1:CV300,18,FALSE)=0,0,HLOOKUP("SOT",A1:CV300,18,FALSE)/HLOOKUP("Shots",A1:CV300,18,FALSE))</f>
      </c>
      <c r="W18" s="6029">
        <f>IF(HLOOKUP("Shots",A1:CV300,18,FALSE)=0,0,HLOOKUP("Gs",A1:CV300,18,FALSE)/HLOOKUP("Shots",A1:CV300,18,FALSE))</f>
      </c>
      <c r="X18" t="n" s="6030">
        <v>0.0</v>
      </c>
      <c r="Y18" t="n" s="6031">
        <v>1.0</v>
      </c>
      <c r="Z18" t="n" s="6032">
        <v>1.0</v>
      </c>
      <c r="AA18" s="6033">
        <f>IF(HLOOKUP("KP",A1:CV300,18,FALSE)=0,0,HLOOKUP("As",A1:CV300,18,FALSE)/HLOOKUP("KP",A1:CV300,18,FALSE))</f>
      </c>
      <c r="AB18" t="n" s="6034">
        <v>2.6</v>
      </c>
      <c r="AC18" t="n" s="6035">
        <v>0.0</v>
      </c>
      <c r="AD18" t="n" s="6036">
        <v>0.0</v>
      </c>
      <c r="AE18" t="n" s="6037">
        <v>0.0</v>
      </c>
      <c r="AF18" t="n" s="6038">
        <v>0.0</v>
      </c>
      <c r="AG18" s="6039">
        <f>IF(HLOOKUP("BC",A1:CV300,18,FALSE)=0,0,HLOOKUP("Gs - BC",A1:CV300,18,FALSE)/HLOOKUP("BC",A1:CV300,18,FALSE))</f>
      </c>
      <c r="AH18" s="6040">
        <f>HLOOKUP("BC",A1:CV300,18,FALSE) - HLOOKUP("BC Miss",A1:CV300,18,FALSE)</f>
      </c>
      <c r="AI18" s="6041">
        <f>IF(HLOOKUP("Gs",A1:CV300,18,FALSE)=0,0,HLOOKUP("Gs - BC",A1:CV300,18,FALSE)/HLOOKUP("Gs",A1:CV300,18,FALSE))</f>
      </c>
      <c r="AJ18" t="n" s="6042">
        <v>0.0</v>
      </c>
      <c r="AK18" t="n" s="6043">
        <v>0.0</v>
      </c>
      <c r="AL18" s="6044">
        <f>HLOOKUP("BC",A1:CV300,18,FALSE) - (HLOOKUP("PK Gs",A1:CV300,18,FALSE) + HLOOKUP("PK Miss",A1:CV300,18,FALSE))</f>
      </c>
      <c r="AM18" s="6045">
        <f>HLOOKUP("BC Miss",A1:CV300,18,FALSE) - HLOOKUP("PK Miss",A1:CV300,18,FALSE)</f>
      </c>
      <c r="AN18" s="6046">
        <f>IF(HLOOKUP("BC - Open",A1:CV300,18,FALSE)=0,0,HLOOKUP("BC - Open Miss",A1:CV300,18,FALSE)/HLOOKUP("BC - Open",A1:CV300,18,FALSE))</f>
      </c>
      <c r="AO18" t="n" s="6047">
        <v>0.0</v>
      </c>
      <c r="AP18" s="6048">
        <f>IF(HLOOKUP("Gs",A1:CV300,18,FALSE)=0,0,HLOOKUP("GIB",A1:CV300,18,FALSE)/HLOOKUP("Gs",A1:CV300,18,FALSE))</f>
      </c>
      <c r="AQ18" t="n" s="6049">
        <v>0.0</v>
      </c>
      <c r="AR18" s="6050">
        <f>IF(HLOOKUP("Gs",A1:CV300,18,FALSE)=0,0,HLOOKUP("Gs - Open",A1:CV300,18,FALSE)/HLOOKUP("Gs",A1:CV300,18,FALSE))</f>
      </c>
      <c r="AS18" t="n" s="6051">
        <v>0.02</v>
      </c>
      <c r="AT18" t="n" s="6052">
        <v>0.02</v>
      </c>
      <c r="AU18" s="6053">
        <f>IF(HLOOKUP("Mins",A1:CV300,18,FALSE)=0,0,HLOOKUP("Pts",A1:CV300,18,FALSE)/HLOOKUP("Mins",A1:CV300,18,FALSE)* 90)</f>
      </c>
      <c r="AV18" s="6054">
        <f>IF(HLOOKUP("Apps",A1:CV300,18,FALSE)=0,0,HLOOKUP("Pts",A1:CV300,18,FALSE)/HLOOKUP("Apps",A1:CV300,18,FALSE)* 1)</f>
      </c>
      <c r="AW18" s="6055">
        <f>IF(HLOOKUP("Mins",A1:CV300,18,FALSE)=0,0,HLOOKUP("Gs",A1:CV300,18,FALSE)/HLOOKUP("Mins",A1:CV300,18,FALSE)* 90)</f>
      </c>
      <c r="AX18" s="6056">
        <f>IF(HLOOKUP("Mins",A1:CV300,18,FALSE)=0,0,HLOOKUP("Bonus",A1:CV300,18,FALSE)/HLOOKUP("Mins",A1:CV300,18,FALSE)* 90)</f>
      </c>
      <c r="AY18" s="6057">
        <f>IF(HLOOKUP("Mins",A1:CV300,18,FALSE)=0,0,HLOOKUP("BPS",A1:CV300,18,FALSE)/HLOOKUP("Mins",A1:CV300,18,FALSE)* 90)</f>
      </c>
      <c r="AZ18" s="6058">
        <f>IF(HLOOKUP("Mins",A1:CV300,18,FALSE)=0,0,HLOOKUP("Base BPS",A1:CV300,18,FALSE)/HLOOKUP("Mins",A1:CV300,18,FALSE)* 90)</f>
      </c>
      <c r="BA18" s="6059">
        <f>IF(HLOOKUP("Mins",A1:CV300,18,FALSE)=0,0,HLOOKUP("PenTchs",A1:CV300,18,FALSE)/HLOOKUP("Mins",A1:CV300,18,FALSE)* 90)</f>
      </c>
      <c r="BB18" s="6060">
        <f>IF(HLOOKUP("Mins",A1:CV300,18,FALSE)=0,0,HLOOKUP("Shots",A1:CV300,18,FALSE)/HLOOKUP("Mins",A1:CV300,18,FALSE)* 90)</f>
      </c>
      <c r="BC18" s="6061">
        <f>IF(HLOOKUP("Mins",A1:CV300,18,FALSE)=0,0,HLOOKUP("SIB",A1:CV300,18,FALSE)/HLOOKUP("Mins",A1:CV300,18,FALSE)* 90)</f>
      </c>
      <c r="BD18" s="6062">
        <f>IF(HLOOKUP("Mins",A1:CV300,18,FALSE)=0,0,HLOOKUP("S6YD",A1:CV300,18,FALSE)/HLOOKUP("Mins",A1:CV300,18,FALSE)* 90)</f>
      </c>
      <c r="BE18" s="6063">
        <f>IF(HLOOKUP("Mins",A1:CV300,18,FALSE)=0,0,HLOOKUP("Headers",A1:CV300,18,FALSE)/HLOOKUP("Mins",A1:CV300,18,FALSE)* 90)</f>
      </c>
      <c r="BF18" s="6064">
        <f>IF(HLOOKUP("Mins",A1:CV300,18,FALSE)=0,0,HLOOKUP("SOT",A1:CV300,18,FALSE)/HLOOKUP("Mins",A1:CV300,18,FALSE)* 90)</f>
      </c>
      <c r="BG18" s="6065">
        <f>IF(HLOOKUP("Mins",A1:CV300,18,FALSE)=0,0,HLOOKUP("As",A1:CV300,18,FALSE)/HLOOKUP("Mins",A1:CV300,18,FALSE)* 90)</f>
      </c>
      <c r="BH18" s="6066">
        <f>IF(HLOOKUP("Mins",A1:CV300,18,FALSE)=0,0,HLOOKUP("FPL As",A1:CV300,18,FALSE)/HLOOKUP("Mins",A1:CV300,18,FALSE)* 90)</f>
      </c>
      <c r="BI18" s="6067">
        <f>IF(HLOOKUP("Mins",A1:CV300,18,FALSE)=0,0,HLOOKUP("BC Created",A1:CV300,18,FALSE)/HLOOKUP("Mins",A1:CV300,18,FALSE)* 90)</f>
      </c>
      <c r="BJ18" s="6068">
        <f>IF(HLOOKUP("Mins",A1:CV300,18,FALSE)=0,0,HLOOKUP("KP",A1:CV300,18,FALSE)/HLOOKUP("Mins",A1:CV300,18,FALSE)* 90)</f>
      </c>
      <c r="BK18" s="6069">
        <f>IF(HLOOKUP("Mins",A1:CV300,18,FALSE)=0,0,HLOOKUP("BC",A1:CV300,18,FALSE)/HLOOKUP("Mins",A1:CV300,18,FALSE)* 90)</f>
      </c>
      <c r="BL18" s="6070">
        <f>IF(HLOOKUP("Mins",A1:CV300,18,FALSE)=0,0,HLOOKUP("BC Miss",A1:CV300,18,FALSE)/HLOOKUP("Mins",A1:CV300,18,FALSE)* 90)</f>
      </c>
      <c r="BM18" s="6071">
        <f>IF(HLOOKUP("Mins",A1:CV300,18,FALSE)=0,0,HLOOKUP("Gs - BC",A1:CV300,18,FALSE)/HLOOKUP("Mins",A1:CV300,18,FALSE)* 90)</f>
      </c>
      <c r="BN18" s="6072">
        <f>IF(HLOOKUP("Mins",A1:CV300,18,FALSE)=0,0,HLOOKUP("GIB",A1:CV300,18,FALSE)/HLOOKUP("Mins",A1:CV300,18,FALSE)* 90)</f>
      </c>
      <c r="BO18" s="6073">
        <f>IF(HLOOKUP("Mins",A1:CV300,18,FALSE)=0,0,HLOOKUP("Gs - Open",A1:CV300,18,FALSE)/HLOOKUP("Mins",A1:CV300,18,FALSE)* 90)</f>
      </c>
      <c r="BP18" s="6074">
        <f>IF(HLOOKUP("Mins",A1:CV300,18,FALSE)=0,0,HLOOKUP("ICT Index",A1:CV300,18,FALSE)/HLOOKUP("Mins",A1:CV300,18,FALSE)* 90)</f>
      </c>
      <c r="BQ18" s="6075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6076">
        <f>0.0825*HLOOKUP("KP/90",A1:CV300,18,FALSE)</f>
      </c>
      <c r="BS18" s="6077">
        <f>6*HLOOKUP("xG/90",A1:CV300,18,FALSE)+3*HLOOKUP("xA/90",A1:CV300,18,FALSE)</f>
      </c>
      <c r="BT18" s="6078">
        <f>HLOOKUP("xPts/90",A1:CV300,18,FALSE)-(6*0.75*(HLOOKUP("PK Gs",A1:CV300,18,FALSE)+HLOOKUP("PK Miss",A1:CV300,18,FALSE))*90/HLOOKUP("Mins",A1:CV300,18,FALSE))</f>
      </c>
      <c r="BU18" s="6079">
        <f>IF(HLOOKUP("Mins",A1:CV300,18,FALSE)=0,0,HLOOKUP("fsXG",A1:CV300,18,FALSE)/HLOOKUP("Mins",A1:CV300,18,FALSE)* 90)</f>
      </c>
      <c r="BV18" s="6080">
        <f>IF(HLOOKUP("Mins",A1:CV300,18,FALSE)=0,0,HLOOKUP("fsXA",A1:CV300,18,FALSE)/HLOOKUP("Mins",A1:CV300,18,FALSE)* 90)</f>
      </c>
      <c r="BW18" s="6081">
        <f>6*HLOOKUP("fsXG/90",A1:CV300,18,FALSE)+3*HLOOKUP("fsXA/90",A1:CV300,18,FALSE)</f>
      </c>
      <c r="BX18" t="n" s="6082">
        <v>0.015622549690306187</v>
      </c>
      <c r="BY18" t="n" s="6083">
        <v>0.015926627442240715</v>
      </c>
      <c r="BZ18" s="6084">
        <f>6*HLOOKUP("uXG/90",A1:CV300,18,FALSE)+3*HLOOKUP("uXA/90",A1:CV300,18,FALSE)</f>
      </c>
    </row>
    <row r="19">
      <c r="A19" t="s" s="6085">
        <v>175</v>
      </c>
      <c r="B19" t="s" s="6086">
        <v>96</v>
      </c>
      <c r="C19" t="n" s="6087">
        <v>4.300000190734863</v>
      </c>
      <c r="D19" t="n" s="6088">
        <v>450.0</v>
      </c>
      <c r="E19" t="n" s="6089">
        <v>5.0</v>
      </c>
      <c r="F19" t="n" s="6090">
        <v>27.0</v>
      </c>
      <c r="G19" t="n" s="6091">
        <v>0.0</v>
      </c>
      <c r="H19" t="n" s="6092">
        <v>0.0</v>
      </c>
      <c r="I19" t="n" s="6093">
        <v>140.0</v>
      </c>
      <c r="J19" s="6094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6095">
        <v>0.0</v>
      </c>
      <c r="L19" t="n" s="6096">
        <v>4.0</v>
      </c>
      <c r="M19" t="n" s="6097">
        <v>2.0</v>
      </c>
      <c r="N19" t="n" s="6098">
        <v>2.0</v>
      </c>
      <c r="O19" t="n" s="6099">
        <v>1.0</v>
      </c>
      <c r="P19" s="6100">
        <f>IF(HLOOKUP("Shots",A1:CV300,19,FALSE)=0,0,HLOOKUP("SIB",A1:CV300,19,FALSE)/HLOOKUP("Shots",A1:CV300,19,FALSE))</f>
      </c>
      <c r="Q19" t="n" s="6101">
        <v>0.0</v>
      </c>
      <c r="R19" s="6102">
        <f>IF(HLOOKUP("Shots",A1:CV300,19,FALSE)=0,0,HLOOKUP("S6YD",A1:CV300,19,FALSE)/HLOOKUP("Shots",A1:CV300,19,FALSE))</f>
      </c>
      <c r="S19" t="n" s="6103">
        <v>0.0</v>
      </c>
      <c r="T19" s="6104">
        <f>IF(HLOOKUP("Shots",A1:CV300,19,FALSE)=0,0,HLOOKUP("Headers",A1:CV300,19,FALSE)/HLOOKUP("Shots",A1:CV300,19,FALSE))</f>
      </c>
      <c r="U19" t="n" s="6105">
        <v>1.0</v>
      </c>
      <c r="V19" s="6106">
        <f>IF(HLOOKUP("Shots",A1:CV300,19,FALSE)=0,0,HLOOKUP("SOT",A1:CV300,19,FALSE)/HLOOKUP("Shots",A1:CV300,19,FALSE))</f>
      </c>
      <c r="W19" s="6107">
        <f>IF(HLOOKUP("Shots",A1:CV300,19,FALSE)=0,0,HLOOKUP("Gs",A1:CV300,19,FALSE)/HLOOKUP("Shots",A1:CV300,19,FALSE))</f>
      </c>
      <c r="X19" t="n" s="6108">
        <v>0.0</v>
      </c>
      <c r="Y19" t="n" s="6109">
        <v>0.0</v>
      </c>
      <c r="Z19" t="n" s="6110">
        <v>2.0</v>
      </c>
      <c r="AA19" s="6111">
        <f>IF(HLOOKUP("KP",A1:CV300,19,FALSE)=0,0,HLOOKUP("As",A1:CV300,19,FALSE)/HLOOKUP("KP",A1:CV300,19,FALSE))</f>
      </c>
      <c r="AB19" t="n" s="6112">
        <v>14.5</v>
      </c>
      <c r="AC19" t="n" s="6113">
        <v>0.0</v>
      </c>
      <c r="AD19" t="n" s="6114">
        <v>0.0</v>
      </c>
      <c r="AE19" t="n" s="6115">
        <v>0.0</v>
      </c>
      <c r="AF19" t="n" s="6116">
        <v>0.0</v>
      </c>
      <c r="AG19" s="6117">
        <f>IF(HLOOKUP("BC",A1:CV300,19,FALSE)=0,0,HLOOKUP("Gs - BC",A1:CV300,19,FALSE)/HLOOKUP("BC",A1:CV300,19,FALSE))</f>
      </c>
      <c r="AH19" s="6118">
        <f>HLOOKUP("BC",A1:CV300,19,FALSE) - HLOOKUP("BC Miss",A1:CV300,19,FALSE)</f>
      </c>
      <c r="AI19" s="6119">
        <f>IF(HLOOKUP("Gs",A1:CV300,19,FALSE)=0,0,HLOOKUP("Gs - BC",A1:CV300,19,FALSE)/HLOOKUP("Gs",A1:CV300,19,FALSE))</f>
      </c>
      <c r="AJ19" t="n" s="6120">
        <v>0.0</v>
      </c>
      <c r="AK19" t="n" s="6121">
        <v>0.0</v>
      </c>
      <c r="AL19" s="6122">
        <f>HLOOKUP("BC",A1:CV300,19,FALSE) - (HLOOKUP("PK Gs",A1:CV300,19,FALSE) + HLOOKUP("PK Miss",A1:CV300,19,FALSE))</f>
      </c>
      <c r="AM19" s="6123">
        <f>HLOOKUP("BC Miss",A1:CV300,19,FALSE) - HLOOKUP("PK Miss",A1:CV300,19,FALSE)</f>
      </c>
      <c r="AN19" s="6124">
        <f>IF(HLOOKUP("BC - Open",A1:CV300,19,FALSE)=0,0,HLOOKUP("BC - Open Miss",A1:CV300,19,FALSE)/HLOOKUP("BC - Open",A1:CV300,19,FALSE))</f>
      </c>
      <c r="AO19" t="n" s="6125">
        <v>0.0</v>
      </c>
      <c r="AP19" s="6126">
        <f>IF(HLOOKUP("Gs",A1:CV300,19,FALSE)=0,0,HLOOKUP("GIB",A1:CV300,19,FALSE)/HLOOKUP("Gs",A1:CV300,19,FALSE))</f>
      </c>
      <c r="AQ19" t="n" s="6127">
        <v>0.0</v>
      </c>
      <c r="AR19" s="6128">
        <f>IF(HLOOKUP("Gs",A1:CV300,19,FALSE)=0,0,HLOOKUP("Gs - Open",A1:CV300,19,FALSE)/HLOOKUP("Gs",A1:CV300,19,FALSE))</f>
      </c>
      <c r="AS19" t="n" s="6129">
        <v>0.06</v>
      </c>
      <c r="AT19" t="n" s="6130">
        <v>0.21</v>
      </c>
      <c r="AU19" s="6131">
        <f>IF(HLOOKUP("Mins",A1:CV300,19,FALSE)=0,0,HLOOKUP("Pts",A1:CV300,19,FALSE)/HLOOKUP("Mins",A1:CV300,19,FALSE)* 90)</f>
      </c>
      <c r="AV19" s="6132">
        <f>IF(HLOOKUP("Apps",A1:CV300,19,FALSE)=0,0,HLOOKUP("Pts",A1:CV300,19,FALSE)/HLOOKUP("Apps",A1:CV300,19,FALSE)* 1)</f>
      </c>
      <c r="AW19" s="6133">
        <f>IF(HLOOKUP("Mins",A1:CV300,19,FALSE)=0,0,HLOOKUP("Gs",A1:CV300,19,FALSE)/HLOOKUP("Mins",A1:CV300,19,FALSE)* 90)</f>
      </c>
      <c r="AX19" s="6134">
        <f>IF(HLOOKUP("Mins",A1:CV300,19,FALSE)=0,0,HLOOKUP("Bonus",A1:CV300,19,FALSE)/HLOOKUP("Mins",A1:CV300,19,FALSE)* 90)</f>
      </c>
      <c r="AY19" s="6135">
        <f>IF(HLOOKUP("Mins",A1:CV300,19,FALSE)=0,0,HLOOKUP("BPS",A1:CV300,19,FALSE)/HLOOKUP("Mins",A1:CV300,19,FALSE)* 90)</f>
      </c>
      <c r="AZ19" s="6136">
        <f>IF(HLOOKUP("Mins",A1:CV300,19,FALSE)=0,0,HLOOKUP("Base BPS",A1:CV300,19,FALSE)/HLOOKUP("Mins",A1:CV300,19,FALSE)* 90)</f>
      </c>
      <c r="BA19" s="6137">
        <f>IF(HLOOKUP("Mins",A1:CV300,19,FALSE)=0,0,HLOOKUP("PenTchs",A1:CV300,19,FALSE)/HLOOKUP("Mins",A1:CV300,19,FALSE)* 90)</f>
      </c>
      <c r="BB19" s="6138">
        <f>IF(HLOOKUP("Mins",A1:CV300,19,FALSE)=0,0,HLOOKUP("Shots",A1:CV300,19,FALSE)/HLOOKUP("Mins",A1:CV300,19,FALSE)* 90)</f>
      </c>
      <c r="BC19" s="6139">
        <f>IF(HLOOKUP("Mins",A1:CV300,19,FALSE)=0,0,HLOOKUP("SIB",A1:CV300,19,FALSE)/HLOOKUP("Mins",A1:CV300,19,FALSE)* 90)</f>
      </c>
      <c r="BD19" s="6140">
        <f>IF(HLOOKUP("Mins",A1:CV300,19,FALSE)=0,0,HLOOKUP("S6YD",A1:CV300,19,FALSE)/HLOOKUP("Mins",A1:CV300,19,FALSE)* 90)</f>
      </c>
      <c r="BE19" s="6141">
        <f>IF(HLOOKUP("Mins",A1:CV300,19,FALSE)=0,0,HLOOKUP("Headers",A1:CV300,19,FALSE)/HLOOKUP("Mins",A1:CV300,19,FALSE)* 90)</f>
      </c>
      <c r="BF19" s="6142">
        <f>IF(HLOOKUP("Mins",A1:CV300,19,FALSE)=0,0,HLOOKUP("SOT",A1:CV300,19,FALSE)/HLOOKUP("Mins",A1:CV300,19,FALSE)* 90)</f>
      </c>
      <c r="BG19" s="6143">
        <f>IF(HLOOKUP("Mins",A1:CV300,19,FALSE)=0,0,HLOOKUP("As",A1:CV300,19,FALSE)/HLOOKUP("Mins",A1:CV300,19,FALSE)* 90)</f>
      </c>
      <c r="BH19" s="6144">
        <f>IF(HLOOKUP("Mins",A1:CV300,19,FALSE)=0,0,HLOOKUP("FPL As",A1:CV300,19,FALSE)/HLOOKUP("Mins",A1:CV300,19,FALSE)* 90)</f>
      </c>
      <c r="BI19" s="6145">
        <f>IF(HLOOKUP("Mins",A1:CV300,19,FALSE)=0,0,HLOOKUP("BC Created",A1:CV300,19,FALSE)/HLOOKUP("Mins",A1:CV300,19,FALSE)* 90)</f>
      </c>
      <c r="BJ19" s="6146">
        <f>IF(HLOOKUP("Mins",A1:CV300,19,FALSE)=0,0,HLOOKUP("KP",A1:CV300,19,FALSE)/HLOOKUP("Mins",A1:CV300,19,FALSE)* 90)</f>
      </c>
      <c r="BK19" s="6147">
        <f>IF(HLOOKUP("Mins",A1:CV300,19,FALSE)=0,0,HLOOKUP("BC",A1:CV300,19,FALSE)/HLOOKUP("Mins",A1:CV300,19,FALSE)* 90)</f>
      </c>
      <c r="BL19" s="6148">
        <f>IF(HLOOKUP("Mins",A1:CV300,19,FALSE)=0,0,HLOOKUP("BC Miss",A1:CV300,19,FALSE)/HLOOKUP("Mins",A1:CV300,19,FALSE)* 90)</f>
      </c>
      <c r="BM19" s="6149">
        <f>IF(HLOOKUP("Mins",A1:CV300,19,FALSE)=0,0,HLOOKUP("Gs - BC",A1:CV300,19,FALSE)/HLOOKUP("Mins",A1:CV300,19,FALSE)* 90)</f>
      </c>
      <c r="BN19" s="6150">
        <f>IF(HLOOKUP("Mins",A1:CV300,19,FALSE)=0,0,HLOOKUP("GIB",A1:CV300,19,FALSE)/HLOOKUP("Mins",A1:CV300,19,FALSE)* 90)</f>
      </c>
      <c r="BO19" s="6151">
        <f>IF(HLOOKUP("Mins",A1:CV300,19,FALSE)=0,0,HLOOKUP("Gs - Open",A1:CV300,19,FALSE)/HLOOKUP("Mins",A1:CV300,19,FALSE)* 90)</f>
      </c>
      <c r="BP19" s="6152">
        <f>IF(HLOOKUP("Mins",A1:CV300,19,FALSE)=0,0,HLOOKUP("ICT Index",A1:CV300,19,FALSE)/HLOOKUP("Mins",A1:CV300,19,FALSE)* 90)</f>
      </c>
      <c r="BQ19" s="6153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6154">
        <f>0.0825*HLOOKUP("KP/90",A1:CV300,19,FALSE)</f>
      </c>
      <c r="BS19" s="6155">
        <f>6*HLOOKUP("xG/90",A1:CV300,19,FALSE)+3*HLOOKUP("xA/90",A1:CV300,19,FALSE)</f>
      </c>
      <c r="BT19" s="6156">
        <f>HLOOKUP("xPts/90",A1:CV300,19,FALSE)-(6*0.75*(HLOOKUP("PK Gs",A1:CV300,19,FALSE)+HLOOKUP("PK Miss",A1:CV300,19,FALSE))*90/HLOOKUP("Mins",A1:CV300,19,FALSE))</f>
      </c>
      <c r="BU19" s="6157">
        <f>IF(HLOOKUP("Mins",A1:CV300,19,FALSE)=0,0,HLOOKUP("fsXG",A1:CV300,19,FALSE)/HLOOKUP("Mins",A1:CV300,19,FALSE)* 90)</f>
      </c>
      <c r="BV19" s="6158">
        <f>IF(HLOOKUP("Mins",A1:CV300,19,FALSE)=0,0,HLOOKUP("fsXA",A1:CV300,19,FALSE)/HLOOKUP("Mins",A1:CV300,19,FALSE)* 90)</f>
      </c>
      <c r="BW19" s="6159">
        <f>6*HLOOKUP("fsXG/90",A1:CV300,19,FALSE)+3*HLOOKUP("fsXA/90",A1:CV300,19,FALSE)</f>
      </c>
      <c r="BX19" t="n" s="6160">
        <v>0.005998529493808746</v>
      </c>
      <c r="BY19" t="n" s="6161">
        <v>0.01796633005142212</v>
      </c>
      <c r="BZ19" s="6162">
        <f>6*HLOOKUP("uXG/90",A1:CV300,19,FALSE)+3*HLOOKUP("uXA/90",A1:CV300,19,FALSE)</f>
      </c>
    </row>
    <row r="20">
      <c r="A20" t="s" s="6163">
        <v>176</v>
      </c>
      <c r="B20" t="s" s="6164">
        <v>102</v>
      </c>
      <c r="C20" t="n" s="6165">
        <v>4.400000095367432</v>
      </c>
      <c r="D20" t="n" s="6166">
        <v>540.0</v>
      </c>
      <c r="E20" t="n" s="6167">
        <v>6.0</v>
      </c>
      <c r="F20" t="n" s="6168">
        <v>48.0</v>
      </c>
      <c r="G20" t="n" s="6169">
        <v>0.0</v>
      </c>
      <c r="H20" t="n" s="6170">
        <v>4.0</v>
      </c>
      <c r="I20" t="n" s="6171">
        <v>226.0</v>
      </c>
      <c r="J20" s="6172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6173">
        <v>0.0</v>
      </c>
      <c r="L20" t="n" s="6174">
        <v>2.0</v>
      </c>
      <c r="M20" t="n" s="6175">
        <v>2.0</v>
      </c>
      <c r="N20" t="n" s="6176">
        <v>1.0</v>
      </c>
      <c r="O20" t="n" s="6177">
        <v>1.0</v>
      </c>
      <c r="P20" s="6178">
        <f>IF(HLOOKUP("Shots",A1:CV300,20,FALSE)=0,0,HLOOKUP("SIB",A1:CV300,20,FALSE)/HLOOKUP("Shots",A1:CV300,20,FALSE))</f>
      </c>
      <c r="Q20" t="n" s="6179">
        <v>1.0</v>
      </c>
      <c r="R20" s="6180">
        <f>IF(HLOOKUP("Shots",A1:CV300,20,FALSE)=0,0,HLOOKUP("S6YD",A1:CV300,20,FALSE)/HLOOKUP("Shots",A1:CV300,20,FALSE))</f>
      </c>
      <c r="S20" t="n" s="6181">
        <v>0.0</v>
      </c>
      <c r="T20" s="6182">
        <f>IF(HLOOKUP("Shots",A1:CV300,20,FALSE)=0,0,HLOOKUP("Headers",A1:CV300,20,FALSE)/HLOOKUP("Shots",A1:CV300,20,FALSE))</f>
      </c>
      <c r="U20" t="n" s="6183">
        <v>0.0</v>
      </c>
      <c r="V20" s="6184">
        <f>IF(HLOOKUP("Shots",A1:CV300,20,FALSE)=0,0,HLOOKUP("SOT",A1:CV300,20,FALSE)/HLOOKUP("Shots",A1:CV300,20,FALSE))</f>
      </c>
      <c r="W20" s="6185">
        <f>IF(HLOOKUP("Shots",A1:CV300,20,FALSE)=0,0,HLOOKUP("Gs",A1:CV300,20,FALSE)/HLOOKUP("Shots",A1:CV300,20,FALSE))</f>
      </c>
      <c r="X20" t="n" s="6186">
        <v>0.0</v>
      </c>
      <c r="Y20" t="n" s="6187">
        <v>2.0</v>
      </c>
      <c r="Z20" t="n" s="6188">
        <v>0.0</v>
      </c>
      <c r="AA20" s="6189">
        <f>IF(HLOOKUP("KP",A1:CV300,20,FALSE)=0,0,HLOOKUP("As",A1:CV300,20,FALSE)/HLOOKUP("KP",A1:CV300,20,FALSE))</f>
      </c>
      <c r="AB20" t="n" s="6190">
        <v>12.1</v>
      </c>
      <c r="AC20" t="n" s="6191">
        <v>0.0</v>
      </c>
      <c r="AD20" t="n" s="6192">
        <v>0.0</v>
      </c>
      <c r="AE20" t="n" s="6193">
        <v>0.0</v>
      </c>
      <c r="AF20" t="n" s="6194">
        <v>0.0</v>
      </c>
      <c r="AG20" s="6195">
        <f>IF(HLOOKUP("BC",A1:CV300,20,FALSE)=0,0,HLOOKUP("Gs - BC",A1:CV300,20,FALSE)/HLOOKUP("BC",A1:CV300,20,FALSE))</f>
      </c>
      <c r="AH20" s="6196">
        <f>HLOOKUP("BC",A1:CV300,20,FALSE) - HLOOKUP("BC Miss",A1:CV300,20,FALSE)</f>
      </c>
      <c r="AI20" s="6197">
        <f>IF(HLOOKUP("Gs",A1:CV300,20,FALSE)=0,0,HLOOKUP("Gs - BC",A1:CV300,20,FALSE)/HLOOKUP("Gs",A1:CV300,20,FALSE))</f>
      </c>
      <c r="AJ20" t="n" s="6198">
        <v>0.0</v>
      </c>
      <c r="AK20" t="n" s="6199">
        <v>0.0</v>
      </c>
      <c r="AL20" s="6200">
        <f>HLOOKUP("BC",A1:CV300,20,FALSE) - (HLOOKUP("PK Gs",A1:CV300,20,FALSE) + HLOOKUP("PK Miss",A1:CV300,20,FALSE))</f>
      </c>
      <c r="AM20" s="6201">
        <f>HLOOKUP("BC Miss",A1:CV300,20,FALSE) - HLOOKUP("PK Miss",A1:CV300,20,FALSE)</f>
      </c>
      <c r="AN20" s="6202">
        <f>IF(HLOOKUP("BC - Open",A1:CV300,20,FALSE)=0,0,HLOOKUP("BC - Open Miss",A1:CV300,20,FALSE)/HLOOKUP("BC - Open",A1:CV300,20,FALSE))</f>
      </c>
      <c r="AO20" t="n" s="6203">
        <v>0.0</v>
      </c>
      <c r="AP20" s="6204">
        <f>IF(HLOOKUP("Gs",A1:CV300,20,FALSE)=0,0,HLOOKUP("GIB",A1:CV300,20,FALSE)/HLOOKUP("Gs",A1:CV300,20,FALSE))</f>
      </c>
      <c r="AQ20" t="n" s="6205">
        <v>0.0</v>
      </c>
      <c r="AR20" s="6206">
        <f>IF(HLOOKUP("Gs",A1:CV300,20,FALSE)=0,0,HLOOKUP("Gs - Open",A1:CV300,20,FALSE)/HLOOKUP("Gs",A1:CV300,20,FALSE))</f>
      </c>
      <c r="AS20" t="n" s="6207">
        <v>0.22</v>
      </c>
      <c r="AT20" t="n" s="6208">
        <v>0.02</v>
      </c>
      <c r="AU20" s="6209">
        <f>IF(HLOOKUP("Mins",A1:CV300,20,FALSE)=0,0,HLOOKUP("Pts",A1:CV300,20,FALSE)/HLOOKUP("Mins",A1:CV300,20,FALSE)* 90)</f>
      </c>
      <c r="AV20" s="6210">
        <f>IF(HLOOKUP("Apps",A1:CV300,20,FALSE)=0,0,HLOOKUP("Pts",A1:CV300,20,FALSE)/HLOOKUP("Apps",A1:CV300,20,FALSE)* 1)</f>
      </c>
      <c r="AW20" s="6211">
        <f>IF(HLOOKUP("Mins",A1:CV300,20,FALSE)=0,0,HLOOKUP("Gs",A1:CV300,20,FALSE)/HLOOKUP("Mins",A1:CV300,20,FALSE)* 90)</f>
      </c>
      <c r="AX20" s="6212">
        <f>IF(HLOOKUP("Mins",A1:CV300,20,FALSE)=0,0,HLOOKUP("Bonus",A1:CV300,20,FALSE)/HLOOKUP("Mins",A1:CV300,20,FALSE)* 90)</f>
      </c>
      <c r="AY20" s="6213">
        <f>IF(HLOOKUP("Mins",A1:CV300,20,FALSE)=0,0,HLOOKUP("BPS",A1:CV300,20,FALSE)/HLOOKUP("Mins",A1:CV300,20,FALSE)* 90)</f>
      </c>
      <c r="AZ20" s="6214">
        <f>IF(HLOOKUP("Mins",A1:CV300,20,FALSE)=0,0,HLOOKUP("Base BPS",A1:CV300,20,FALSE)/HLOOKUP("Mins",A1:CV300,20,FALSE)* 90)</f>
      </c>
      <c r="BA20" s="6215">
        <f>IF(HLOOKUP("Mins",A1:CV300,20,FALSE)=0,0,HLOOKUP("PenTchs",A1:CV300,20,FALSE)/HLOOKUP("Mins",A1:CV300,20,FALSE)* 90)</f>
      </c>
      <c r="BB20" s="6216">
        <f>IF(HLOOKUP("Mins",A1:CV300,20,FALSE)=0,0,HLOOKUP("Shots",A1:CV300,20,FALSE)/HLOOKUP("Mins",A1:CV300,20,FALSE)* 90)</f>
      </c>
      <c r="BC20" s="6217">
        <f>IF(HLOOKUP("Mins",A1:CV300,20,FALSE)=0,0,HLOOKUP("SIB",A1:CV300,20,FALSE)/HLOOKUP("Mins",A1:CV300,20,FALSE)* 90)</f>
      </c>
      <c r="BD20" s="6218">
        <f>IF(HLOOKUP("Mins",A1:CV300,20,FALSE)=0,0,HLOOKUP("S6YD",A1:CV300,20,FALSE)/HLOOKUP("Mins",A1:CV300,20,FALSE)* 90)</f>
      </c>
      <c r="BE20" s="6219">
        <f>IF(HLOOKUP("Mins",A1:CV300,20,FALSE)=0,0,HLOOKUP("Headers",A1:CV300,20,FALSE)/HLOOKUP("Mins",A1:CV300,20,FALSE)* 90)</f>
      </c>
      <c r="BF20" s="6220">
        <f>IF(HLOOKUP("Mins",A1:CV300,20,FALSE)=0,0,HLOOKUP("SOT",A1:CV300,20,FALSE)/HLOOKUP("Mins",A1:CV300,20,FALSE)* 90)</f>
      </c>
      <c r="BG20" s="6221">
        <f>IF(HLOOKUP("Mins",A1:CV300,20,FALSE)=0,0,HLOOKUP("As",A1:CV300,20,FALSE)/HLOOKUP("Mins",A1:CV300,20,FALSE)* 90)</f>
      </c>
      <c r="BH20" s="6222">
        <f>IF(HLOOKUP("Mins",A1:CV300,20,FALSE)=0,0,HLOOKUP("FPL As",A1:CV300,20,FALSE)/HLOOKUP("Mins",A1:CV300,20,FALSE)* 90)</f>
      </c>
      <c r="BI20" s="6223">
        <f>IF(HLOOKUP("Mins",A1:CV300,20,FALSE)=0,0,HLOOKUP("BC Created",A1:CV300,20,FALSE)/HLOOKUP("Mins",A1:CV300,20,FALSE)* 90)</f>
      </c>
      <c r="BJ20" s="6224">
        <f>IF(HLOOKUP("Mins",A1:CV300,20,FALSE)=0,0,HLOOKUP("KP",A1:CV300,20,FALSE)/HLOOKUP("Mins",A1:CV300,20,FALSE)* 90)</f>
      </c>
      <c r="BK20" s="6225">
        <f>IF(HLOOKUP("Mins",A1:CV300,20,FALSE)=0,0,HLOOKUP("BC",A1:CV300,20,FALSE)/HLOOKUP("Mins",A1:CV300,20,FALSE)* 90)</f>
      </c>
      <c r="BL20" s="6226">
        <f>IF(HLOOKUP("Mins",A1:CV300,20,FALSE)=0,0,HLOOKUP("BC Miss",A1:CV300,20,FALSE)/HLOOKUP("Mins",A1:CV300,20,FALSE)* 90)</f>
      </c>
      <c r="BM20" s="6227">
        <f>IF(HLOOKUP("Mins",A1:CV300,20,FALSE)=0,0,HLOOKUP("Gs - BC",A1:CV300,20,FALSE)/HLOOKUP("Mins",A1:CV300,20,FALSE)* 90)</f>
      </c>
      <c r="BN20" s="6228">
        <f>IF(HLOOKUP("Mins",A1:CV300,20,FALSE)=0,0,HLOOKUP("GIB",A1:CV300,20,FALSE)/HLOOKUP("Mins",A1:CV300,20,FALSE)* 90)</f>
      </c>
      <c r="BO20" s="6229">
        <f>IF(HLOOKUP("Mins",A1:CV300,20,FALSE)=0,0,HLOOKUP("Gs - Open",A1:CV300,20,FALSE)/HLOOKUP("Mins",A1:CV300,20,FALSE)* 90)</f>
      </c>
      <c r="BP20" s="6230">
        <f>IF(HLOOKUP("Mins",A1:CV300,20,FALSE)=0,0,HLOOKUP("ICT Index",A1:CV300,20,FALSE)/HLOOKUP("Mins",A1:CV300,20,FALSE)* 90)</f>
      </c>
      <c r="BQ20" s="6231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6232">
        <f>0.0825*HLOOKUP("KP/90",A1:CV300,20,FALSE)</f>
      </c>
      <c r="BS20" s="6233">
        <f>6*HLOOKUP("xG/90",A1:CV300,20,FALSE)+3*HLOOKUP("xA/90",A1:CV300,20,FALSE)</f>
      </c>
      <c r="BT20" s="6234">
        <f>HLOOKUP("xPts/90",A1:CV300,20,FALSE)-(6*0.75*(HLOOKUP("PK Gs",A1:CV300,20,FALSE)+HLOOKUP("PK Miss",A1:CV300,20,FALSE))*90/HLOOKUP("Mins",A1:CV300,20,FALSE))</f>
      </c>
      <c r="BU20" s="6235">
        <f>IF(HLOOKUP("Mins",A1:CV300,20,FALSE)=0,0,HLOOKUP("fsXG",A1:CV300,20,FALSE)/HLOOKUP("Mins",A1:CV300,20,FALSE)* 90)</f>
      </c>
      <c r="BV20" s="6236">
        <f>IF(HLOOKUP("Mins",A1:CV300,20,FALSE)=0,0,HLOOKUP("fsXA",A1:CV300,20,FALSE)/HLOOKUP("Mins",A1:CV300,20,FALSE)* 90)</f>
      </c>
      <c r="BW20" s="6237">
        <f>6*HLOOKUP("fsXG/90",A1:CV300,20,FALSE)+3*HLOOKUP("fsXA/90",A1:CV300,20,FALSE)</f>
      </c>
      <c r="BX20" t="n" s="6238">
        <v>0.015102525241672993</v>
      </c>
      <c r="BY20" t="n" s="6239">
        <v>0.0</v>
      </c>
      <c r="BZ20" s="6240">
        <f>6*HLOOKUP("uXG/90",A1:CV300,20,FALSE)+3*HLOOKUP("uXA/90",A1:CV300,20,FALSE)</f>
      </c>
    </row>
    <row r="21">
      <c r="A21" t="s" s="6241">
        <v>177</v>
      </c>
      <c r="B21" t="s" s="6242">
        <v>96</v>
      </c>
      <c r="C21" t="n" s="6243">
        <v>4.199999809265137</v>
      </c>
      <c r="D21" t="n" s="6244">
        <v>450.0</v>
      </c>
      <c r="E21" t="n" s="6245">
        <v>5.0</v>
      </c>
      <c r="F21" t="n" s="6246">
        <v>26.0</v>
      </c>
      <c r="G21" t="n" s="6247">
        <v>0.0</v>
      </c>
      <c r="H21" t="n" s="6248">
        <v>1.0</v>
      </c>
      <c r="I21" t="n" s="6249">
        <v>125.0</v>
      </c>
      <c r="J21" s="6250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6251">
        <v>0.0</v>
      </c>
      <c r="L21" t="n" s="6252">
        <v>3.0</v>
      </c>
      <c r="M21" t="n" s="6253">
        <v>2.0</v>
      </c>
      <c r="N21" t="n" s="6254">
        <v>1.0</v>
      </c>
      <c r="O21" t="n" s="6255">
        <v>0.0</v>
      </c>
      <c r="P21" s="6256">
        <f>IF(HLOOKUP("Shots",A1:CV300,21,FALSE)=0,0,HLOOKUP("SIB",A1:CV300,21,FALSE)/HLOOKUP("Shots",A1:CV300,21,FALSE))</f>
      </c>
      <c r="Q21" t="n" s="6257">
        <v>0.0</v>
      </c>
      <c r="R21" s="6258">
        <f>IF(HLOOKUP("Shots",A1:CV300,21,FALSE)=0,0,HLOOKUP("S6YD",A1:CV300,21,FALSE)/HLOOKUP("Shots",A1:CV300,21,FALSE))</f>
      </c>
      <c r="S21" t="n" s="6259">
        <v>0.0</v>
      </c>
      <c r="T21" s="6260">
        <f>IF(HLOOKUP("Shots",A1:CV300,21,FALSE)=0,0,HLOOKUP("Headers",A1:CV300,21,FALSE)/HLOOKUP("Shots",A1:CV300,21,FALSE))</f>
      </c>
      <c r="U21" t="n" s="6261">
        <v>0.0</v>
      </c>
      <c r="V21" s="6262">
        <f>IF(HLOOKUP("Shots",A1:CV300,21,FALSE)=0,0,HLOOKUP("SOT",A1:CV300,21,FALSE)/HLOOKUP("Shots",A1:CV300,21,FALSE))</f>
      </c>
      <c r="W21" s="6263">
        <f>IF(HLOOKUP("Shots",A1:CV300,21,FALSE)=0,0,HLOOKUP("Gs",A1:CV300,21,FALSE)/HLOOKUP("Shots",A1:CV300,21,FALSE))</f>
      </c>
      <c r="X21" t="n" s="6264">
        <v>0.0</v>
      </c>
      <c r="Y21" t="n" s="6265">
        <v>0.0</v>
      </c>
      <c r="Z21" t="n" s="6266">
        <v>4.0</v>
      </c>
      <c r="AA21" s="6267">
        <f>IF(HLOOKUP("KP",A1:CV300,21,FALSE)=0,0,HLOOKUP("As",A1:CV300,21,FALSE)/HLOOKUP("KP",A1:CV300,21,FALSE))</f>
      </c>
      <c r="AB21" t="n" s="6268">
        <v>15.1</v>
      </c>
      <c r="AC21" t="n" s="6269">
        <v>0.0</v>
      </c>
      <c r="AD21" t="n" s="6270">
        <v>0.0</v>
      </c>
      <c r="AE21" t="n" s="6271">
        <v>0.0</v>
      </c>
      <c r="AF21" t="n" s="6272">
        <v>0.0</v>
      </c>
      <c r="AG21" s="6273">
        <f>IF(HLOOKUP("BC",A1:CV300,21,FALSE)=0,0,HLOOKUP("Gs - BC",A1:CV300,21,FALSE)/HLOOKUP("BC",A1:CV300,21,FALSE))</f>
      </c>
      <c r="AH21" s="6274">
        <f>HLOOKUP("BC",A1:CV300,21,FALSE) - HLOOKUP("BC Miss",A1:CV300,21,FALSE)</f>
      </c>
      <c r="AI21" s="6275">
        <f>IF(HLOOKUP("Gs",A1:CV300,21,FALSE)=0,0,HLOOKUP("Gs - BC",A1:CV300,21,FALSE)/HLOOKUP("Gs",A1:CV300,21,FALSE))</f>
      </c>
      <c r="AJ21" t="n" s="6276">
        <v>0.0</v>
      </c>
      <c r="AK21" t="n" s="6277">
        <v>0.0</v>
      </c>
      <c r="AL21" s="6278">
        <f>HLOOKUP("BC",A1:CV300,21,FALSE) - (HLOOKUP("PK Gs",A1:CV300,21,FALSE) + HLOOKUP("PK Miss",A1:CV300,21,FALSE))</f>
      </c>
      <c r="AM21" s="6279">
        <f>HLOOKUP("BC Miss",A1:CV300,21,FALSE) - HLOOKUP("PK Miss",A1:CV300,21,FALSE)</f>
      </c>
      <c r="AN21" s="6280">
        <f>IF(HLOOKUP("BC - Open",A1:CV300,21,FALSE)=0,0,HLOOKUP("BC - Open Miss",A1:CV300,21,FALSE)/HLOOKUP("BC - Open",A1:CV300,21,FALSE))</f>
      </c>
      <c r="AO21" t="n" s="6281">
        <v>0.0</v>
      </c>
      <c r="AP21" s="6282">
        <f>IF(HLOOKUP("Gs",A1:CV300,21,FALSE)=0,0,HLOOKUP("GIB",A1:CV300,21,FALSE)/HLOOKUP("Gs",A1:CV300,21,FALSE))</f>
      </c>
      <c r="AQ21" t="n" s="6283">
        <v>0.0</v>
      </c>
      <c r="AR21" s="6284">
        <f>IF(HLOOKUP("Gs",A1:CV300,21,FALSE)=0,0,HLOOKUP("Gs - Open",A1:CV300,21,FALSE)/HLOOKUP("Gs",A1:CV300,21,FALSE))</f>
      </c>
      <c r="AS21" t="n" s="6285">
        <v>0.03</v>
      </c>
      <c r="AT21" t="n" s="6286">
        <v>0.32</v>
      </c>
      <c r="AU21" s="6287">
        <f>IF(HLOOKUP("Mins",A1:CV300,21,FALSE)=0,0,HLOOKUP("Pts",A1:CV300,21,FALSE)/HLOOKUP("Mins",A1:CV300,21,FALSE)* 90)</f>
      </c>
      <c r="AV21" s="6288">
        <f>IF(HLOOKUP("Apps",A1:CV300,21,FALSE)=0,0,HLOOKUP("Pts",A1:CV300,21,FALSE)/HLOOKUP("Apps",A1:CV300,21,FALSE)* 1)</f>
      </c>
      <c r="AW21" s="6289">
        <f>IF(HLOOKUP("Mins",A1:CV300,21,FALSE)=0,0,HLOOKUP("Gs",A1:CV300,21,FALSE)/HLOOKUP("Mins",A1:CV300,21,FALSE)* 90)</f>
      </c>
      <c r="AX21" s="6290">
        <f>IF(HLOOKUP("Mins",A1:CV300,21,FALSE)=0,0,HLOOKUP("Bonus",A1:CV300,21,FALSE)/HLOOKUP("Mins",A1:CV300,21,FALSE)* 90)</f>
      </c>
      <c r="AY21" s="6291">
        <f>IF(HLOOKUP("Mins",A1:CV300,21,FALSE)=0,0,HLOOKUP("BPS",A1:CV300,21,FALSE)/HLOOKUP("Mins",A1:CV300,21,FALSE)* 90)</f>
      </c>
      <c r="AZ21" s="6292">
        <f>IF(HLOOKUP("Mins",A1:CV300,21,FALSE)=0,0,HLOOKUP("Base BPS",A1:CV300,21,FALSE)/HLOOKUP("Mins",A1:CV300,21,FALSE)* 90)</f>
      </c>
      <c r="BA21" s="6293">
        <f>IF(HLOOKUP("Mins",A1:CV300,21,FALSE)=0,0,HLOOKUP("PenTchs",A1:CV300,21,FALSE)/HLOOKUP("Mins",A1:CV300,21,FALSE)* 90)</f>
      </c>
      <c r="BB21" s="6294">
        <f>IF(HLOOKUP("Mins",A1:CV300,21,FALSE)=0,0,HLOOKUP("Shots",A1:CV300,21,FALSE)/HLOOKUP("Mins",A1:CV300,21,FALSE)* 90)</f>
      </c>
      <c r="BC21" s="6295">
        <f>IF(HLOOKUP("Mins",A1:CV300,21,FALSE)=0,0,HLOOKUP("SIB",A1:CV300,21,FALSE)/HLOOKUP("Mins",A1:CV300,21,FALSE)* 90)</f>
      </c>
      <c r="BD21" s="6296">
        <f>IF(HLOOKUP("Mins",A1:CV300,21,FALSE)=0,0,HLOOKUP("S6YD",A1:CV300,21,FALSE)/HLOOKUP("Mins",A1:CV300,21,FALSE)* 90)</f>
      </c>
      <c r="BE21" s="6297">
        <f>IF(HLOOKUP("Mins",A1:CV300,21,FALSE)=0,0,HLOOKUP("Headers",A1:CV300,21,FALSE)/HLOOKUP("Mins",A1:CV300,21,FALSE)* 90)</f>
      </c>
      <c r="BF21" s="6298">
        <f>IF(HLOOKUP("Mins",A1:CV300,21,FALSE)=0,0,HLOOKUP("SOT",A1:CV300,21,FALSE)/HLOOKUP("Mins",A1:CV300,21,FALSE)* 90)</f>
      </c>
      <c r="BG21" s="6299">
        <f>IF(HLOOKUP("Mins",A1:CV300,21,FALSE)=0,0,HLOOKUP("As",A1:CV300,21,FALSE)/HLOOKUP("Mins",A1:CV300,21,FALSE)* 90)</f>
      </c>
      <c r="BH21" s="6300">
        <f>IF(HLOOKUP("Mins",A1:CV300,21,FALSE)=0,0,HLOOKUP("FPL As",A1:CV300,21,FALSE)/HLOOKUP("Mins",A1:CV300,21,FALSE)* 90)</f>
      </c>
      <c r="BI21" s="6301">
        <f>IF(HLOOKUP("Mins",A1:CV300,21,FALSE)=0,0,HLOOKUP("BC Created",A1:CV300,21,FALSE)/HLOOKUP("Mins",A1:CV300,21,FALSE)* 90)</f>
      </c>
      <c r="BJ21" s="6302">
        <f>IF(HLOOKUP("Mins",A1:CV300,21,FALSE)=0,0,HLOOKUP("KP",A1:CV300,21,FALSE)/HLOOKUP("Mins",A1:CV300,21,FALSE)* 90)</f>
      </c>
      <c r="BK21" s="6303">
        <f>IF(HLOOKUP("Mins",A1:CV300,21,FALSE)=0,0,HLOOKUP("BC",A1:CV300,21,FALSE)/HLOOKUP("Mins",A1:CV300,21,FALSE)* 90)</f>
      </c>
      <c r="BL21" s="6304">
        <f>IF(HLOOKUP("Mins",A1:CV300,21,FALSE)=0,0,HLOOKUP("BC Miss",A1:CV300,21,FALSE)/HLOOKUP("Mins",A1:CV300,21,FALSE)* 90)</f>
      </c>
      <c r="BM21" s="6305">
        <f>IF(HLOOKUP("Mins",A1:CV300,21,FALSE)=0,0,HLOOKUP("Gs - BC",A1:CV300,21,FALSE)/HLOOKUP("Mins",A1:CV300,21,FALSE)* 90)</f>
      </c>
      <c r="BN21" s="6306">
        <f>IF(HLOOKUP("Mins",A1:CV300,21,FALSE)=0,0,HLOOKUP("GIB",A1:CV300,21,FALSE)/HLOOKUP("Mins",A1:CV300,21,FALSE)* 90)</f>
      </c>
      <c r="BO21" s="6307">
        <f>IF(HLOOKUP("Mins",A1:CV300,21,FALSE)=0,0,HLOOKUP("Gs - Open",A1:CV300,21,FALSE)/HLOOKUP("Mins",A1:CV300,21,FALSE)* 90)</f>
      </c>
      <c r="BP21" s="6308">
        <f>IF(HLOOKUP("Mins",A1:CV300,21,FALSE)=0,0,HLOOKUP("ICT Index",A1:CV300,21,FALSE)/HLOOKUP("Mins",A1:CV300,21,FALSE)* 90)</f>
      </c>
      <c r="BQ21" s="6309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6310">
        <f>0.0825*HLOOKUP("KP/90",A1:CV300,21,FALSE)</f>
      </c>
      <c r="BS21" s="6311">
        <f>6*HLOOKUP("xG/90",A1:CV300,21,FALSE)+3*HLOOKUP("xA/90",A1:CV300,21,FALSE)</f>
      </c>
      <c r="BT21" s="6312">
        <f>HLOOKUP("xPts/90",A1:CV300,21,FALSE)-(6*0.75*(HLOOKUP("PK Gs",A1:CV300,21,FALSE)+HLOOKUP("PK Miss",A1:CV300,21,FALSE))*90/HLOOKUP("Mins",A1:CV300,21,FALSE))</f>
      </c>
      <c r="BU21" s="6313">
        <f>IF(HLOOKUP("Mins",A1:CV300,21,FALSE)=0,0,HLOOKUP("fsXG",A1:CV300,21,FALSE)/HLOOKUP("Mins",A1:CV300,21,FALSE)* 90)</f>
      </c>
      <c r="BV21" s="6314">
        <f>IF(HLOOKUP("Mins",A1:CV300,21,FALSE)=0,0,HLOOKUP("fsXA",A1:CV300,21,FALSE)/HLOOKUP("Mins",A1:CV300,21,FALSE)* 90)</f>
      </c>
      <c r="BW21" s="6315">
        <f>6*HLOOKUP("fsXG/90",A1:CV300,21,FALSE)+3*HLOOKUP("fsXA/90",A1:CV300,21,FALSE)</f>
      </c>
      <c r="BX21" t="n" s="6316">
        <v>0.002803416457027197</v>
      </c>
      <c r="BY21" t="n" s="6317">
        <v>0.03312961384654045</v>
      </c>
      <c r="BZ21" s="6318">
        <f>6*HLOOKUP("uXG/90",A1:CV300,21,FALSE)+3*HLOOKUP("uXA/90",A1:CV300,21,FALSE)</f>
      </c>
    </row>
    <row r="22">
      <c r="A22" t="s" s="6319">
        <v>178</v>
      </c>
      <c r="B22" t="s" s="6320">
        <v>114</v>
      </c>
      <c r="C22" t="n" s="6321">
        <v>5.699999809265137</v>
      </c>
      <c r="D22" t="n" s="6322">
        <v>380.0</v>
      </c>
      <c r="E22" t="n" s="6323">
        <v>5.0</v>
      </c>
      <c r="F22" t="n" s="6324">
        <v>72.0</v>
      </c>
      <c r="G22" t="n" s="6325">
        <v>0.0</v>
      </c>
      <c r="H22" t="n" s="6326">
        <v>10.0</v>
      </c>
      <c r="I22" t="n" s="6327">
        <v>377.0</v>
      </c>
      <c r="J22" s="6328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6329">
        <v>1.0</v>
      </c>
      <c r="L22" t="n" s="6330">
        <v>6.0</v>
      </c>
      <c r="M22" t="n" s="6331">
        <v>5.0</v>
      </c>
      <c r="N22" t="n" s="6332">
        <v>2.0</v>
      </c>
      <c r="O22" t="n" s="6333">
        <v>0.0</v>
      </c>
      <c r="P22" s="6334">
        <f>IF(HLOOKUP("Shots",A1:CV300,22,FALSE)=0,0,HLOOKUP("SIB",A1:CV300,22,FALSE)/HLOOKUP("Shots",A1:CV300,22,FALSE))</f>
      </c>
      <c r="Q22" t="n" s="6335">
        <v>0.0</v>
      </c>
      <c r="R22" s="6336">
        <f>IF(HLOOKUP("Shots",A1:CV300,22,FALSE)=0,0,HLOOKUP("S6YD",A1:CV300,22,FALSE)/HLOOKUP("Shots",A1:CV300,22,FALSE))</f>
      </c>
      <c r="S22" t="n" s="6337">
        <v>0.0</v>
      </c>
      <c r="T22" s="6338">
        <f>IF(HLOOKUP("Shots",A1:CV300,22,FALSE)=0,0,HLOOKUP("Headers",A1:CV300,22,FALSE)/HLOOKUP("Shots",A1:CV300,22,FALSE))</f>
      </c>
      <c r="U22" t="n" s="6339">
        <v>0.0</v>
      </c>
      <c r="V22" s="6340">
        <f>IF(HLOOKUP("Shots",A1:CV300,22,FALSE)=0,0,HLOOKUP("SOT",A1:CV300,22,FALSE)/HLOOKUP("Shots",A1:CV300,22,FALSE))</f>
      </c>
      <c r="W22" s="6341">
        <f>IF(HLOOKUP("Shots",A1:CV300,22,FALSE)=0,0,HLOOKUP("Gs",A1:CV300,22,FALSE)/HLOOKUP("Shots",A1:CV300,22,FALSE))</f>
      </c>
      <c r="X22" t="n" s="6342">
        <v>1.0</v>
      </c>
      <c r="Y22" t="n" s="6343">
        <v>4.0</v>
      </c>
      <c r="Z22" t="n" s="6344">
        <v>8.0</v>
      </c>
      <c r="AA22" s="6345">
        <f>IF(HLOOKUP("KP",A1:CV300,22,FALSE)=0,0,HLOOKUP("As",A1:CV300,22,FALSE)/HLOOKUP("KP",A1:CV300,22,FALSE))</f>
      </c>
      <c r="AB22" t="n" s="6346">
        <v>21.2</v>
      </c>
      <c r="AC22" t="n" s="6347">
        <v>33.0</v>
      </c>
      <c r="AD22" t="n" s="6348">
        <v>0.0</v>
      </c>
      <c r="AE22" t="n" s="6349">
        <v>0.0</v>
      </c>
      <c r="AF22" t="n" s="6350">
        <v>0.0</v>
      </c>
      <c r="AG22" s="6351">
        <f>IF(HLOOKUP("BC",A1:CV300,22,FALSE)=0,0,HLOOKUP("Gs - BC",A1:CV300,22,FALSE)/HLOOKUP("BC",A1:CV300,22,FALSE))</f>
      </c>
      <c r="AH22" s="6352">
        <f>HLOOKUP("BC",A1:CV300,22,FALSE) - HLOOKUP("BC Miss",A1:CV300,22,FALSE)</f>
      </c>
      <c r="AI22" s="6353">
        <f>IF(HLOOKUP("Gs",A1:CV300,22,FALSE)=0,0,HLOOKUP("Gs - BC",A1:CV300,22,FALSE)/HLOOKUP("Gs",A1:CV300,22,FALSE))</f>
      </c>
      <c r="AJ22" t="n" s="6354">
        <v>0.0</v>
      </c>
      <c r="AK22" t="n" s="6355">
        <v>0.0</v>
      </c>
      <c r="AL22" s="6356">
        <f>HLOOKUP("BC",A1:CV300,22,FALSE) - (HLOOKUP("PK Gs",A1:CV300,22,FALSE) + HLOOKUP("PK Miss",A1:CV300,22,FALSE))</f>
      </c>
      <c r="AM22" s="6357">
        <f>HLOOKUP("BC Miss",A1:CV300,22,FALSE) - HLOOKUP("PK Miss",A1:CV300,22,FALSE)</f>
      </c>
      <c r="AN22" s="6358">
        <f>IF(HLOOKUP("BC - Open",A1:CV300,22,FALSE)=0,0,HLOOKUP("BC - Open Miss",A1:CV300,22,FALSE)/HLOOKUP("BC - Open",A1:CV300,22,FALSE))</f>
      </c>
      <c r="AO22" t="n" s="6359">
        <v>0.0</v>
      </c>
      <c r="AP22" s="6360">
        <f>IF(HLOOKUP("Gs",A1:CV300,22,FALSE)=0,0,HLOOKUP("GIB",A1:CV300,22,FALSE)/HLOOKUP("Gs",A1:CV300,22,FALSE))</f>
      </c>
      <c r="AQ22" t="n" s="6361">
        <v>0.0</v>
      </c>
      <c r="AR22" s="6362">
        <f>IF(HLOOKUP("Gs",A1:CV300,22,FALSE)=0,0,HLOOKUP("Gs - Open",A1:CV300,22,FALSE)/HLOOKUP("Gs",A1:CV300,22,FALSE))</f>
      </c>
      <c r="AS22" t="n" s="6363">
        <v>0.09</v>
      </c>
      <c r="AT22" t="n" s="6364">
        <v>0.69</v>
      </c>
      <c r="AU22" s="6365">
        <f>IF(HLOOKUP("Mins",A1:CV300,22,FALSE)=0,0,HLOOKUP("Pts",A1:CV300,22,FALSE)/HLOOKUP("Mins",A1:CV300,22,FALSE)* 90)</f>
      </c>
      <c r="AV22" s="6366">
        <f>IF(HLOOKUP("Apps",A1:CV300,22,FALSE)=0,0,HLOOKUP("Pts",A1:CV300,22,FALSE)/HLOOKUP("Apps",A1:CV300,22,FALSE)* 1)</f>
      </c>
      <c r="AW22" s="6367">
        <f>IF(HLOOKUP("Mins",A1:CV300,22,FALSE)=0,0,HLOOKUP("Gs",A1:CV300,22,FALSE)/HLOOKUP("Mins",A1:CV300,22,FALSE)* 90)</f>
      </c>
      <c r="AX22" s="6368">
        <f>IF(HLOOKUP("Mins",A1:CV300,22,FALSE)=0,0,HLOOKUP("Bonus",A1:CV300,22,FALSE)/HLOOKUP("Mins",A1:CV300,22,FALSE)* 90)</f>
      </c>
      <c r="AY22" s="6369">
        <f>IF(HLOOKUP("Mins",A1:CV300,22,FALSE)=0,0,HLOOKUP("BPS",A1:CV300,22,FALSE)/HLOOKUP("Mins",A1:CV300,22,FALSE)* 90)</f>
      </c>
      <c r="AZ22" s="6370">
        <f>IF(HLOOKUP("Mins",A1:CV300,22,FALSE)=0,0,HLOOKUP("Base BPS",A1:CV300,22,FALSE)/HLOOKUP("Mins",A1:CV300,22,FALSE)* 90)</f>
      </c>
      <c r="BA22" s="6371">
        <f>IF(HLOOKUP("Mins",A1:CV300,22,FALSE)=0,0,HLOOKUP("PenTchs",A1:CV300,22,FALSE)/HLOOKUP("Mins",A1:CV300,22,FALSE)* 90)</f>
      </c>
      <c r="BB22" s="6372">
        <f>IF(HLOOKUP("Mins",A1:CV300,22,FALSE)=0,0,HLOOKUP("Shots",A1:CV300,22,FALSE)/HLOOKUP("Mins",A1:CV300,22,FALSE)* 90)</f>
      </c>
      <c r="BC22" s="6373">
        <f>IF(HLOOKUP("Mins",A1:CV300,22,FALSE)=0,0,HLOOKUP("SIB",A1:CV300,22,FALSE)/HLOOKUP("Mins",A1:CV300,22,FALSE)* 90)</f>
      </c>
      <c r="BD22" s="6374">
        <f>IF(HLOOKUP("Mins",A1:CV300,22,FALSE)=0,0,HLOOKUP("S6YD",A1:CV300,22,FALSE)/HLOOKUP("Mins",A1:CV300,22,FALSE)* 90)</f>
      </c>
      <c r="BE22" s="6375">
        <f>IF(HLOOKUP("Mins",A1:CV300,22,FALSE)=0,0,HLOOKUP("Headers",A1:CV300,22,FALSE)/HLOOKUP("Mins",A1:CV300,22,FALSE)* 90)</f>
      </c>
      <c r="BF22" s="6376">
        <f>IF(HLOOKUP("Mins",A1:CV300,22,FALSE)=0,0,HLOOKUP("SOT",A1:CV300,22,FALSE)/HLOOKUP("Mins",A1:CV300,22,FALSE)* 90)</f>
      </c>
      <c r="BG22" s="6377">
        <f>IF(HLOOKUP("Mins",A1:CV300,22,FALSE)=0,0,HLOOKUP("As",A1:CV300,22,FALSE)/HLOOKUP("Mins",A1:CV300,22,FALSE)* 90)</f>
      </c>
      <c r="BH22" s="6378">
        <f>IF(HLOOKUP("Mins",A1:CV300,22,FALSE)=0,0,HLOOKUP("FPL As",A1:CV300,22,FALSE)/HLOOKUP("Mins",A1:CV300,22,FALSE)* 90)</f>
      </c>
      <c r="BI22" s="6379">
        <f>IF(HLOOKUP("Mins",A1:CV300,22,FALSE)=0,0,HLOOKUP("BC Created",A1:CV300,22,FALSE)/HLOOKUP("Mins",A1:CV300,22,FALSE)* 90)</f>
      </c>
      <c r="BJ22" s="6380">
        <f>IF(HLOOKUP("Mins",A1:CV300,22,FALSE)=0,0,HLOOKUP("KP",A1:CV300,22,FALSE)/HLOOKUP("Mins",A1:CV300,22,FALSE)* 90)</f>
      </c>
      <c r="BK22" s="6381">
        <f>IF(HLOOKUP("Mins",A1:CV300,22,FALSE)=0,0,HLOOKUP("BC",A1:CV300,22,FALSE)/HLOOKUP("Mins",A1:CV300,22,FALSE)* 90)</f>
      </c>
      <c r="BL22" s="6382">
        <f>IF(HLOOKUP("Mins",A1:CV300,22,FALSE)=0,0,HLOOKUP("BC Miss",A1:CV300,22,FALSE)/HLOOKUP("Mins",A1:CV300,22,FALSE)* 90)</f>
      </c>
      <c r="BM22" s="6383">
        <f>IF(HLOOKUP("Mins",A1:CV300,22,FALSE)=0,0,HLOOKUP("Gs - BC",A1:CV300,22,FALSE)/HLOOKUP("Mins",A1:CV300,22,FALSE)* 90)</f>
      </c>
      <c r="BN22" s="6384">
        <f>IF(HLOOKUP("Mins",A1:CV300,22,FALSE)=0,0,HLOOKUP("GIB",A1:CV300,22,FALSE)/HLOOKUP("Mins",A1:CV300,22,FALSE)* 90)</f>
      </c>
      <c r="BO22" s="6385">
        <f>IF(HLOOKUP("Mins",A1:CV300,22,FALSE)=0,0,HLOOKUP("Gs - Open",A1:CV300,22,FALSE)/HLOOKUP("Mins",A1:CV300,22,FALSE)* 90)</f>
      </c>
      <c r="BP22" s="6386">
        <f>IF(HLOOKUP("Mins",A1:CV300,22,FALSE)=0,0,HLOOKUP("ICT Index",A1:CV300,22,FALSE)/HLOOKUP("Mins",A1:CV300,22,FALSE)* 90)</f>
      </c>
      <c r="BQ22" s="6387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6388">
        <f>0.0825*HLOOKUP("KP/90",A1:CV300,22,FALSE)</f>
      </c>
      <c r="BS22" s="6389">
        <f>6*HLOOKUP("xG/90",A1:CV300,22,FALSE)+3*HLOOKUP("xA/90",A1:CV300,22,FALSE)</f>
      </c>
      <c r="BT22" s="6390">
        <f>HLOOKUP("xPts/90",A1:CV300,22,FALSE)-(6*0.75*(HLOOKUP("PK Gs",A1:CV300,22,FALSE)+HLOOKUP("PK Miss",A1:CV300,22,FALSE))*90/HLOOKUP("Mins",A1:CV300,22,FALSE))</f>
      </c>
      <c r="BU22" s="6391">
        <f>IF(HLOOKUP("Mins",A1:CV300,22,FALSE)=0,0,HLOOKUP("fsXG",A1:CV300,22,FALSE)/HLOOKUP("Mins",A1:CV300,22,FALSE)* 90)</f>
      </c>
      <c r="BV22" s="6392">
        <f>IF(HLOOKUP("Mins",A1:CV300,22,FALSE)=0,0,HLOOKUP("fsXA",A1:CV300,22,FALSE)/HLOOKUP("Mins",A1:CV300,22,FALSE)* 90)</f>
      </c>
      <c r="BW22" s="6393">
        <f>6*HLOOKUP("fsXG/90",A1:CV300,22,FALSE)+3*HLOOKUP("fsXA/90",A1:CV300,22,FALSE)</f>
      </c>
      <c r="BX22" t="n" s="6394">
        <v>0.01875394582748413</v>
      </c>
      <c r="BY22" t="n" s="6395">
        <v>0.16152292490005493</v>
      </c>
      <c r="BZ22" s="6396">
        <f>6*HLOOKUP("uXG/90",A1:CV300,22,FALSE)+3*HLOOKUP("uXA/90",A1:CV300,22,FALSE)</f>
      </c>
    </row>
    <row r="23">
      <c r="A23" t="s" s="6397">
        <v>179</v>
      </c>
      <c r="B23" t="s" s="6398">
        <v>92</v>
      </c>
      <c r="C23" t="n" s="6399">
        <v>4.800000190734863</v>
      </c>
      <c r="D23" t="n" s="6400">
        <v>90.0</v>
      </c>
      <c r="E23" t="n" s="6401">
        <v>1.0</v>
      </c>
      <c r="F23" t="n" s="6402">
        <v>51.0</v>
      </c>
      <c r="G23" t="n" s="6403">
        <v>0.0</v>
      </c>
      <c r="H23" t="n" s="6404">
        <v>5.0</v>
      </c>
      <c r="I23" t="n" s="6405">
        <v>307.0</v>
      </c>
      <c r="J23" s="6406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6407">
        <v>0.0</v>
      </c>
      <c r="L23" t="n" s="6408">
        <v>3.0</v>
      </c>
      <c r="M23" t="n" s="6409">
        <v>0.0</v>
      </c>
      <c r="N23" t="n" s="6410">
        <v>0.0</v>
      </c>
      <c r="O23" t="n" s="6411">
        <v>0.0</v>
      </c>
      <c r="P23" s="6412">
        <f>IF(HLOOKUP("Shots",A1:CV300,23,FALSE)=0,0,HLOOKUP("SIB",A1:CV300,23,FALSE)/HLOOKUP("Shots",A1:CV300,23,FALSE))</f>
      </c>
      <c r="Q23" t="n" s="6413">
        <v>0.0</v>
      </c>
      <c r="R23" s="6414">
        <f>IF(HLOOKUP("Shots",A1:CV300,23,FALSE)=0,0,HLOOKUP("S6YD",A1:CV300,23,FALSE)/HLOOKUP("Shots",A1:CV300,23,FALSE))</f>
      </c>
      <c r="S23" t="n" s="6415">
        <v>0.0</v>
      </c>
      <c r="T23" s="6416">
        <f>IF(HLOOKUP("Shots",A1:CV300,23,FALSE)=0,0,HLOOKUP("Headers",A1:CV300,23,FALSE)/HLOOKUP("Shots",A1:CV300,23,FALSE))</f>
      </c>
      <c r="U23" t="n" s="6417">
        <v>0.0</v>
      </c>
      <c r="V23" s="6418">
        <f>IF(HLOOKUP("Shots",A1:CV300,23,FALSE)=0,0,HLOOKUP("SOT",A1:CV300,23,FALSE)/HLOOKUP("Shots",A1:CV300,23,FALSE))</f>
      </c>
      <c r="W23" s="6419">
        <f>IF(HLOOKUP("Shots",A1:CV300,23,FALSE)=0,0,HLOOKUP("Gs",A1:CV300,23,FALSE)/HLOOKUP("Shots",A1:CV300,23,FALSE))</f>
      </c>
      <c r="X23" t="n" s="6420">
        <v>0.0</v>
      </c>
      <c r="Y23" t="n" s="6421">
        <v>1.0</v>
      </c>
      <c r="Z23" t="n" s="6422">
        <v>0.0</v>
      </c>
      <c r="AA23" s="6423">
        <f>IF(HLOOKUP("KP",A1:CV300,23,FALSE)=0,0,HLOOKUP("As",A1:CV300,23,FALSE)/HLOOKUP("KP",A1:CV300,23,FALSE))</f>
      </c>
      <c r="AB23" t="n" s="6424">
        <v>1.7</v>
      </c>
      <c r="AC23" t="n" s="6425">
        <v>0.0</v>
      </c>
      <c r="AD23" t="n" s="6426">
        <v>0.0</v>
      </c>
      <c r="AE23" t="n" s="6427">
        <v>0.0</v>
      </c>
      <c r="AF23" t="n" s="6428">
        <v>0.0</v>
      </c>
      <c r="AG23" s="6429">
        <f>IF(HLOOKUP("BC",A1:CV300,23,FALSE)=0,0,HLOOKUP("Gs - BC",A1:CV300,23,FALSE)/HLOOKUP("BC",A1:CV300,23,FALSE))</f>
      </c>
      <c r="AH23" s="6430">
        <f>HLOOKUP("BC",A1:CV300,23,FALSE) - HLOOKUP("BC Miss",A1:CV300,23,FALSE)</f>
      </c>
      <c r="AI23" s="6431">
        <f>IF(HLOOKUP("Gs",A1:CV300,23,FALSE)=0,0,HLOOKUP("Gs - BC",A1:CV300,23,FALSE)/HLOOKUP("Gs",A1:CV300,23,FALSE))</f>
      </c>
      <c r="AJ23" t="n" s="6432">
        <v>0.0</v>
      </c>
      <c r="AK23" t="n" s="6433">
        <v>0.0</v>
      </c>
      <c r="AL23" s="6434">
        <f>HLOOKUP("BC",A1:CV300,23,FALSE) - (HLOOKUP("PK Gs",A1:CV300,23,FALSE) + HLOOKUP("PK Miss",A1:CV300,23,FALSE))</f>
      </c>
      <c r="AM23" s="6435">
        <f>HLOOKUP("BC Miss",A1:CV300,23,FALSE) - HLOOKUP("PK Miss",A1:CV300,23,FALSE)</f>
      </c>
      <c r="AN23" s="6436">
        <f>IF(HLOOKUP("BC - Open",A1:CV300,23,FALSE)=0,0,HLOOKUP("BC - Open Miss",A1:CV300,23,FALSE)/HLOOKUP("BC - Open",A1:CV300,23,FALSE))</f>
      </c>
      <c r="AO23" t="n" s="6437">
        <v>0.0</v>
      </c>
      <c r="AP23" s="6438">
        <f>IF(HLOOKUP("Gs",A1:CV300,23,FALSE)=0,0,HLOOKUP("GIB",A1:CV300,23,FALSE)/HLOOKUP("Gs",A1:CV300,23,FALSE))</f>
      </c>
      <c r="AQ23" t="n" s="6439">
        <v>0.0</v>
      </c>
      <c r="AR23" s="6440">
        <f>IF(HLOOKUP("Gs",A1:CV300,23,FALSE)=0,0,HLOOKUP("Gs - Open",A1:CV300,23,FALSE)/HLOOKUP("Gs",A1:CV300,23,FALSE))</f>
      </c>
      <c r="AS23" t="n" s="6441">
        <v>0.0</v>
      </c>
      <c r="AT23" t="n" s="6442">
        <v>0.02</v>
      </c>
      <c r="AU23" s="6443">
        <f>IF(HLOOKUP("Mins",A1:CV300,23,FALSE)=0,0,HLOOKUP("Pts",A1:CV300,23,FALSE)/HLOOKUP("Mins",A1:CV300,23,FALSE)* 90)</f>
      </c>
      <c r="AV23" s="6444">
        <f>IF(HLOOKUP("Apps",A1:CV300,23,FALSE)=0,0,HLOOKUP("Pts",A1:CV300,23,FALSE)/HLOOKUP("Apps",A1:CV300,23,FALSE)* 1)</f>
      </c>
      <c r="AW23" s="6445">
        <f>IF(HLOOKUP("Mins",A1:CV300,23,FALSE)=0,0,HLOOKUP("Gs",A1:CV300,23,FALSE)/HLOOKUP("Mins",A1:CV300,23,FALSE)* 90)</f>
      </c>
      <c r="AX23" s="6446">
        <f>IF(HLOOKUP("Mins",A1:CV300,23,FALSE)=0,0,HLOOKUP("Bonus",A1:CV300,23,FALSE)/HLOOKUP("Mins",A1:CV300,23,FALSE)* 90)</f>
      </c>
      <c r="AY23" s="6447">
        <f>IF(HLOOKUP("Mins",A1:CV300,23,FALSE)=0,0,HLOOKUP("BPS",A1:CV300,23,FALSE)/HLOOKUP("Mins",A1:CV300,23,FALSE)* 90)</f>
      </c>
      <c r="AZ23" s="6448">
        <f>IF(HLOOKUP("Mins",A1:CV300,23,FALSE)=0,0,HLOOKUP("Base BPS",A1:CV300,23,FALSE)/HLOOKUP("Mins",A1:CV300,23,FALSE)* 90)</f>
      </c>
      <c r="BA23" s="6449">
        <f>IF(HLOOKUP("Mins",A1:CV300,23,FALSE)=0,0,HLOOKUP("PenTchs",A1:CV300,23,FALSE)/HLOOKUP("Mins",A1:CV300,23,FALSE)* 90)</f>
      </c>
      <c r="BB23" s="6450">
        <f>IF(HLOOKUP("Mins",A1:CV300,23,FALSE)=0,0,HLOOKUP("Shots",A1:CV300,23,FALSE)/HLOOKUP("Mins",A1:CV300,23,FALSE)* 90)</f>
      </c>
      <c r="BC23" s="6451">
        <f>IF(HLOOKUP("Mins",A1:CV300,23,FALSE)=0,0,HLOOKUP("SIB",A1:CV300,23,FALSE)/HLOOKUP("Mins",A1:CV300,23,FALSE)* 90)</f>
      </c>
      <c r="BD23" s="6452">
        <f>IF(HLOOKUP("Mins",A1:CV300,23,FALSE)=0,0,HLOOKUP("S6YD",A1:CV300,23,FALSE)/HLOOKUP("Mins",A1:CV300,23,FALSE)* 90)</f>
      </c>
      <c r="BE23" s="6453">
        <f>IF(HLOOKUP("Mins",A1:CV300,23,FALSE)=0,0,HLOOKUP("Headers",A1:CV300,23,FALSE)/HLOOKUP("Mins",A1:CV300,23,FALSE)* 90)</f>
      </c>
      <c r="BF23" s="6454">
        <f>IF(HLOOKUP("Mins",A1:CV300,23,FALSE)=0,0,HLOOKUP("SOT",A1:CV300,23,FALSE)/HLOOKUP("Mins",A1:CV300,23,FALSE)* 90)</f>
      </c>
      <c r="BG23" s="6455">
        <f>IF(HLOOKUP("Mins",A1:CV300,23,FALSE)=0,0,HLOOKUP("As",A1:CV300,23,FALSE)/HLOOKUP("Mins",A1:CV300,23,FALSE)* 90)</f>
      </c>
      <c r="BH23" s="6456">
        <f>IF(HLOOKUP("Mins",A1:CV300,23,FALSE)=0,0,HLOOKUP("FPL As",A1:CV300,23,FALSE)/HLOOKUP("Mins",A1:CV300,23,FALSE)* 90)</f>
      </c>
      <c r="BI23" s="6457">
        <f>IF(HLOOKUP("Mins",A1:CV300,23,FALSE)=0,0,HLOOKUP("BC Created",A1:CV300,23,FALSE)/HLOOKUP("Mins",A1:CV300,23,FALSE)* 90)</f>
      </c>
      <c r="BJ23" s="6458">
        <f>IF(HLOOKUP("Mins",A1:CV300,23,FALSE)=0,0,HLOOKUP("KP",A1:CV300,23,FALSE)/HLOOKUP("Mins",A1:CV300,23,FALSE)* 90)</f>
      </c>
      <c r="BK23" s="6459">
        <f>IF(HLOOKUP("Mins",A1:CV300,23,FALSE)=0,0,HLOOKUP("BC",A1:CV300,23,FALSE)/HLOOKUP("Mins",A1:CV300,23,FALSE)* 90)</f>
      </c>
      <c r="BL23" s="6460">
        <f>IF(HLOOKUP("Mins",A1:CV300,23,FALSE)=0,0,HLOOKUP("BC Miss",A1:CV300,23,FALSE)/HLOOKUP("Mins",A1:CV300,23,FALSE)* 90)</f>
      </c>
      <c r="BM23" s="6461">
        <f>IF(HLOOKUP("Mins",A1:CV300,23,FALSE)=0,0,HLOOKUP("Gs - BC",A1:CV300,23,FALSE)/HLOOKUP("Mins",A1:CV300,23,FALSE)* 90)</f>
      </c>
      <c r="BN23" s="6462">
        <f>IF(HLOOKUP("Mins",A1:CV300,23,FALSE)=0,0,HLOOKUP("GIB",A1:CV300,23,FALSE)/HLOOKUP("Mins",A1:CV300,23,FALSE)* 90)</f>
      </c>
      <c r="BO23" s="6463">
        <f>IF(HLOOKUP("Mins",A1:CV300,23,FALSE)=0,0,HLOOKUP("Gs - Open",A1:CV300,23,FALSE)/HLOOKUP("Mins",A1:CV300,23,FALSE)* 90)</f>
      </c>
      <c r="BP23" s="6464">
        <f>IF(HLOOKUP("Mins",A1:CV300,23,FALSE)=0,0,HLOOKUP("ICT Index",A1:CV300,23,FALSE)/HLOOKUP("Mins",A1:CV300,23,FALSE)* 90)</f>
      </c>
      <c r="BQ23" s="6465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6466">
        <f>0.0825*HLOOKUP("KP/90",A1:CV300,23,FALSE)</f>
      </c>
      <c r="BS23" s="6467">
        <f>6*HLOOKUP("xG/90",A1:CV300,23,FALSE)+3*HLOOKUP("xA/90",A1:CV300,23,FALSE)</f>
      </c>
      <c r="BT23" s="6468">
        <f>HLOOKUP("xPts/90",A1:CV300,23,FALSE)-(6*0.75*(HLOOKUP("PK Gs",A1:CV300,23,FALSE)+HLOOKUP("PK Miss",A1:CV300,23,FALSE))*90/HLOOKUP("Mins",A1:CV300,23,FALSE))</f>
      </c>
      <c r="BU23" s="6469">
        <f>IF(HLOOKUP("Mins",A1:CV300,23,FALSE)=0,0,HLOOKUP("fsXG",A1:CV300,23,FALSE)/HLOOKUP("Mins",A1:CV300,23,FALSE)* 90)</f>
      </c>
      <c r="BV23" s="6470">
        <f>IF(HLOOKUP("Mins",A1:CV300,23,FALSE)=0,0,HLOOKUP("fsXA",A1:CV300,23,FALSE)/HLOOKUP("Mins",A1:CV300,23,FALSE)* 90)</f>
      </c>
      <c r="BW23" s="6471">
        <f>6*HLOOKUP("fsXG/90",A1:CV300,23,FALSE)+3*HLOOKUP("fsXA/90",A1:CV300,23,FALSE)</f>
      </c>
      <c r="BX23" t="n" s="6472">
        <v>0.0</v>
      </c>
      <c r="BY23" t="n" s="6473">
        <v>0.0</v>
      </c>
      <c r="BZ23" s="6474">
        <f>6*HLOOKUP("uXG/90",A1:CV300,23,FALSE)+3*HLOOKUP("uXA/90",A1:CV300,23,FALSE)</f>
      </c>
    </row>
    <row r="24">
      <c r="A24" t="s" s="6475">
        <v>180</v>
      </c>
      <c r="B24" t="s" s="6476">
        <v>107</v>
      </c>
      <c r="C24" t="n" s="6477">
        <v>4.400000095367432</v>
      </c>
      <c r="D24" t="n" s="6478">
        <v>90.0</v>
      </c>
      <c r="E24" t="n" s="6479">
        <v>1.0</v>
      </c>
      <c r="F24" t="n" s="6480">
        <v>33.0</v>
      </c>
      <c r="G24" t="n" s="6481">
        <v>0.0</v>
      </c>
      <c r="H24" t="n" s="6482">
        <v>3.0</v>
      </c>
      <c r="I24" t="n" s="6483">
        <v>210.0</v>
      </c>
      <c r="J24" s="6484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6485">
        <v>0.0</v>
      </c>
      <c r="L24" t="n" s="6486">
        <v>3.0</v>
      </c>
      <c r="M24" t="n" s="6487">
        <v>2.0</v>
      </c>
      <c r="N24" t="n" s="6488">
        <v>0.0</v>
      </c>
      <c r="O24" t="n" s="6489">
        <v>0.0</v>
      </c>
      <c r="P24" s="6490">
        <f>IF(HLOOKUP("Shots",A1:CV300,24,FALSE)=0,0,HLOOKUP("SIB",A1:CV300,24,FALSE)/HLOOKUP("Shots",A1:CV300,24,FALSE))</f>
      </c>
      <c r="Q24" t="n" s="6491">
        <v>0.0</v>
      </c>
      <c r="R24" s="6492">
        <f>IF(HLOOKUP("Shots",A1:CV300,24,FALSE)=0,0,HLOOKUP("S6YD",A1:CV300,24,FALSE)/HLOOKUP("Shots",A1:CV300,24,FALSE))</f>
      </c>
      <c r="S24" t="n" s="6493">
        <v>0.0</v>
      </c>
      <c r="T24" s="6494">
        <f>IF(HLOOKUP("Shots",A1:CV300,24,FALSE)=0,0,HLOOKUP("Headers",A1:CV300,24,FALSE)/HLOOKUP("Shots",A1:CV300,24,FALSE))</f>
      </c>
      <c r="U24" t="n" s="6495">
        <v>0.0</v>
      </c>
      <c r="V24" s="6496">
        <f>IF(HLOOKUP("Shots",A1:CV300,24,FALSE)=0,0,HLOOKUP("SOT",A1:CV300,24,FALSE)/HLOOKUP("Shots",A1:CV300,24,FALSE))</f>
      </c>
      <c r="W24" s="6497">
        <f>IF(HLOOKUP("Shots",A1:CV300,24,FALSE)=0,0,HLOOKUP("Gs",A1:CV300,24,FALSE)/HLOOKUP("Shots",A1:CV300,24,FALSE))</f>
      </c>
      <c r="X24" t="n" s="6498">
        <v>0.0</v>
      </c>
      <c r="Y24" t="n" s="6499">
        <v>0.0</v>
      </c>
      <c r="Z24" t="n" s="6500">
        <v>0.0</v>
      </c>
      <c r="AA24" s="6501">
        <f>IF(HLOOKUP("KP",A1:CV300,24,FALSE)=0,0,HLOOKUP("As",A1:CV300,24,FALSE)/HLOOKUP("KP",A1:CV300,24,FALSE))</f>
      </c>
      <c r="AB24" t="n" s="6502">
        <v>1.4</v>
      </c>
      <c r="AC24" t="n" s="6503">
        <v>0.0</v>
      </c>
      <c r="AD24" t="n" s="6504">
        <v>0.0</v>
      </c>
      <c r="AE24" t="n" s="6505">
        <v>0.0</v>
      </c>
      <c r="AF24" t="n" s="6506">
        <v>0.0</v>
      </c>
      <c r="AG24" s="6507">
        <f>IF(HLOOKUP("BC",A1:CV300,24,FALSE)=0,0,HLOOKUP("Gs - BC",A1:CV300,24,FALSE)/HLOOKUP("BC",A1:CV300,24,FALSE))</f>
      </c>
      <c r="AH24" s="6508">
        <f>HLOOKUP("BC",A1:CV300,24,FALSE) - HLOOKUP("BC Miss",A1:CV300,24,FALSE)</f>
      </c>
      <c r="AI24" s="6509">
        <f>IF(HLOOKUP("Gs",A1:CV300,24,FALSE)=0,0,HLOOKUP("Gs - BC",A1:CV300,24,FALSE)/HLOOKUP("Gs",A1:CV300,24,FALSE))</f>
      </c>
      <c r="AJ24" t="n" s="6510">
        <v>0.0</v>
      </c>
      <c r="AK24" t="n" s="6511">
        <v>0.0</v>
      </c>
      <c r="AL24" s="6512">
        <f>HLOOKUP("BC",A1:CV300,24,FALSE) - (HLOOKUP("PK Gs",A1:CV300,24,FALSE) + HLOOKUP("PK Miss",A1:CV300,24,FALSE))</f>
      </c>
      <c r="AM24" s="6513">
        <f>HLOOKUP("BC Miss",A1:CV300,24,FALSE) - HLOOKUP("PK Miss",A1:CV300,24,FALSE)</f>
      </c>
      <c r="AN24" s="6514">
        <f>IF(HLOOKUP("BC - Open",A1:CV300,24,FALSE)=0,0,HLOOKUP("BC - Open Miss",A1:CV300,24,FALSE)/HLOOKUP("BC - Open",A1:CV300,24,FALSE))</f>
      </c>
      <c r="AO24" t="n" s="6515">
        <v>0.0</v>
      </c>
      <c r="AP24" s="6516">
        <f>IF(HLOOKUP("Gs",A1:CV300,24,FALSE)=0,0,HLOOKUP("GIB",A1:CV300,24,FALSE)/HLOOKUP("Gs",A1:CV300,24,FALSE))</f>
      </c>
      <c r="AQ24" t="n" s="6517">
        <v>0.0</v>
      </c>
      <c r="AR24" s="6518">
        <f>IF(HLOOKUP("Gs",A1:CV300,24,FALSE)=0,0,HLOOKUP("Gs - Open",A1:CV300,24,FALSE)/HLOOKUP("Gs",A1:CV300,24,FALSE))</f>
      </c>
      <c r="AS24" t="n" s="6519">
        <v>0.0</v>
      </c>
      <c r="AT24" t="n" s="6520">
        <v>0.0</v>
      </c>
      <c r="AU24" s="6521">
        <f>IF(HLOOKUP("Mins",A1:CV300,24,FALSE)=0,0,HLOOKUP("Pts",A1:CV300,24,FALSE)/HLOOKUP("Mins",A1:CV300,24,FALSE)* 90)</f>
      </c>
      <c r="AV24" s="6522">
        <f>IF(HLOOKUP("Apps",A1:CV300,24,FALSE)=0,0,HLOOKUP("Pts",A1:CV300,24,FALSE)/HLOOKUP("Apps",A1:CV300,24,FALSE)* 1)</f>
      </c>
      <c r="AW24" s="6523">
        <f>IF(HLOOKUP("Mins",A1:CV300,24,FALSE)=0,0,HLOOKUP("Gs",A1:CV300,24,FALSE)/HLOOKUP("Mins",A1:CV300,24,FALSE)* 90)</f>
      </c>
      <c r="AX24" s="6524">
        <f>IF(HLOOKUP("Mins",A1:CV300,24,FALSE)=0,0,HLOOKUP("Bonus",A1:CV300,24,FALSE)/HLOOKUP("Mins",A1:CV300,24,FALSE)* 90)</f>
      </c>
      <c r="AY24" s="6525">
        <f>IF(HLOOKUP("Mins",A1:CV300,24,FALSE)=0,0,HLOOKUP("BPS",A1:CV300,24,FALSE)/HLOOKUP("Mins",A1:CV300,24,FALSE)* 90)</f>
      </c>
      <c r="AZ24" s="6526">
        <f>IF(HLOOKUP("Mins",A1:CV300,24,FALSE)=0,0,HLOOKUP("Base BPS",A1:CV300,24,FALSE)/HLOOKUP("Mins",A1:CV300,24,FALSE)* 90)</f>
      </c>
      <c r="BA24" s="6527">
        <f>IF(HLOOKUP("Mins",A1:CV300,24,FALSE)=0,0,HLOOKUP("PenTchs",A1:CV300,24,FALSE)/HLOOKUP("Mins",A1:CV300,24,FALSE)* 90)</f>
      </c>
      <c r="BB24" s="6528">
        <f>IF(HLOOKUP("Mins",A1:CV300,24,FALSE)=0,0,HLOOKUP("Shots",A1:CV300,24,FALSE)/HLOOKUP("Mins",A1:CV300,24,FALSE)* 90)</f>
      </c>
      <c r="BC24" s="6529">
        <f>IF(HLOOKUP("Mins",A1:CV300,24,FALSE)=0,0,HLOOKUP("SIB",A1:CV300,24,FALSE)/HLOOKUP("Mins",A1:CV300,24,FALSE)* 90)</f>
      </c>
      <c r="BD24" s="6530">
        <f>IF(HLOOKUP("Mins",A1:CV300,24,FALSE)=0,0,HLOOKUP("S6YD",A1:CV300,24,FALSE)/HLOOKUP("Mins",A1:CV300,24,FALSE)* 90)</f>
      </c>
      <c r="BE24" s="6531">
        <f>IF(HLOOKUP("Mins",A1:CV300,24,FALSE)=0,0,HLOOKUP("Headers",A1:CV300,24,FALSE)/HLOOKUP("Mins",A1:CV300,24,FALSE)* 90)</f>
      </c>
      <c r="BF24" s="6532">
        <f>IF(HLOOKUP("Mins",A1:CV300,24,FALSE)=0,0,HLOOKUP("SOT",A1:CV300,24,FALSE)/HLOOKUP("Mins",A1:CV300,24,FALSE)* 90)</f>
      </c>
      <c r="BG24" s="6533">
        <f>IF(HLOOKUP("Mins",A1:CV300,24,FALSE)=0,0,HLOOKUP("As",A1:CV300,24,FALSE)/HLOOKUP("Mins",A1:CV300,24,FALSE)* 90)</f>
      </c>
      <c r="BH24" s="6534">
        <f>IF(HLOOKUP("Mins",A1:CV300,24,FALSE)=0,0,HLOOKUP("FPL As",A1:CV300,24,FALSE)/HLOOKUP("Mins",A1:CV300,24,FALSE)* 90)</f>
      </c>
      <c r="BI24" s="6535">
        <f>IF(HLOOKUP("Mins",A1:CV300,24,FALSE)=0,0,HLOOKUP("BC Created",A1:CV300,24,FALSE)/HLOOKUP("Mins",A1:CV300,24,FALSE)* 90)</f>
      </c>
      <c r="BJ24" s="6536">
        <f>IF(HLOOKUP("Mins",A1:CV300,24,FALSE)=0,0,HLOOKUP("KP",A1:CV300,24,FALSE)/HLOOKUP("Mins",A1:CV300,24,FALSE)* 90)</f>
      </c>
      <c r="BK24" s="6537">
        <f>IF(HLOOKUP("Mins",A1:CV300,24,FALSE)=0,0,HLOOKUP("BC",A1:CV300,24,FALSE)/HLOOKUP("Mins",A1:CV300,24,FALSE)* 90)</f>
      </c>
      <c r="BL24" s="6538">
        <f>IF(HLOOKUP("Mins",A1:CV300,24,FALSE)=0,0,HLOOKUP("BC Miss",A1:CV300,24,FALSE)/HLOOKUP("Mins",A1:CV300,24,FALSE)* 90)</f>
      </c>
      <c r="BM24" s="6539">
        <f>IF(HLOOKUP("Mins",A1:CV300,24,FALSE)=0,0,HLOOKUP("Gs - BC",A1:CV300,24,FALSE)/HLOOKUP("Mins",A1:CV300,24,FALSE)* 90)</f>
      </c>
      <c r="BN24" s="6540">
        <f>IF(HLOOKUP("Mins",A1:CV300,24,FALSE)=0,0,HLOOKUP("GIB",A1:CV300,24,FALSE)/HLOOKUP("Mins",A1:CV300,24,FALSE)* 90)</f>
      </c>
      <c r="BO24" s="6541">
        <f>IF(HLOOKUP("Mins",A1:CV300,24,FALSE)=0,0,HLOOKUP("Gs - Open",A1:CV300,24,FALSE)/HLOOKUP("Mins",A1:CV300,24,FALSE)* 90)</f>
      </c>
      <c r="BP24" s="6542">
        <f>IF(HLOOKUP("Mins",A1:CV300,24,FALSE)=0,0,HLOOKUP("ICT Index",A1:CV300,24,FALSE)/HLOOKUP("Mins",A1:CV300,24,FALSE)* 90)</f>
      </c>
      <c r="BQ24" s="6543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6544">
        <f>0.0825*HLOOKUP("KP/90",A1:CV300,24,FALSE)</f>
      </c>
      <c r="BS24" s="6545">
        <f>6*HLOOKUP("xG/90",A1:CV300,24,FALSE)+3*HLOOKUP("xA/90",A1:CV300,24,FALSE)</f>
      </c>
      <c r="BT24" s="6546">
        <f>HLOOKUP("xPts/90",A1:CV300,24,FALSE)-(6*0.75*(HLOOKUP("PK Gs",A1:CV300,24,FALSE)+HLOOKUP("PK Miss",A1:CV300,24,FALSE))*90/HLOOKUP("Mins",A1:CV300,24,FALSE))</f>
      </c>
      <c r="BU24" s="6547">
        <f>IF(HLOOKUP("Mins",A1:CV300,24,FALSE)=0,0,HLOOKUP("fsXG",A1:CV300,24,FALSE)/HLOOKUP("Mins",A1:CV300,24,FALSE)* 90)</f>
      </c>
      <c r="BV24" s="6548">
        <f>IF(HLOOKUP("Mins",A1:CV300,24,FALSE)=0,0,HLOOKUP("fsXA",A1:CV300,24,FALSE)/HLOOKUP("Mins",A1:CV300,24,FALSE)* 90)</f>
      </c>
      <c r="BW24" s="6549">
        <f>6*HLOOKUP("fsXG/90",A1:CV300,24,FALSE)+3*HLOOKUP("fsXA/90",A1:CV300,24,FALSE)</f>
      </c>
      <c r="BX24" t="n" s="6550">
        <v>0.0</v>
      </c>
      <c r="BY24" t="n" s="6551">
        <v>0.0</v>
      </c>
      <c r="BZ24" s="6552">
        <f>6*HLOOKUP("uXG/90",A1:CV300,24,FALSE)+3*HLOOKUP("uXA/90",A1:CV300,24,FALSE)</f>
      </c>
    </row>
    <row r="25">
      <c r="A25" t="s" s="6553">
        <v>181</v>
      </c>
      <c r="B25" t="s" s="6554">
        <v>117</v>
      </c>
      <c r="C25" t="n" s="6555">
        <v>4.599999904632568</v>
      </c>
      <c r="D25" t="n" s="6556">
        <v>30.0</v>
      </c>
      <c r="E25" t="n" s="6557">
        <v>1.0</v>
      </c>
      <c r="F25" t="n" s="6558">
        <v>16.0</v>
      </c>
      <c r="G25" t="n" s="6559">
        <v>0.0</v>
      </c>
      <c r="H25" t="n" s="6560">
        <v>0.0</v>
      </c>
      <c r="I25" t="n" s="6561">
        <v>141.0</v>
      </c>
      <c r="J25" s="6562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6563">
        <v>0.0</v>
      </c>
      <c r="L25" t="n" s="6564">
        <v>2.0</v>
      </c>
      <c r="M25" t="n" s="6565">
        <v>0.0</v>
      </c>
      <c r="N25" t="n" s="6566">
        <v>0.0</v>
      </c>
      <c r="O25" t="n" s="6567">
        <v>0.0</v>
      </c>
      <c r="P25" s="6568">
        <f>IF(HLOOKUP("Shots",A1:CV300,25,FALSE)=0,0,HLOOKUP("SIB",A1:CV300,25,FALSE)/HLOOKUP("Shots",A1:CV300,25,FALSE))</f>
      </c>
      <c r="Q25" t="n" s="6569">
        <v>0.0</v>
      </c>
      <c r="R25" s="6570">
        <f>IF(HLOOKUP("Shots",A1:CV300,25,FALSE)=0,0,HLOOKUP("S6YD",A1:CV300,25,FALSE)/HLOOKUP("Shots",A1:CV300,25,FALSE))</f>
      </c>
      <c r="S25" t="n" s="6571">
        <v>0.0</v>
      </c>
      <c r="T25" s="6572">
        <f>IF(HLOOKUP("Shots",A1:CV300,25,FALSE)=0,0,HLOOKUP("Headers",A1:CV300,25,FALSE)/HLOOKUP("Shots",A1:CV300,25,FALSE))</f>
      </c>
      <c r="U25" t="n" s="6573">
        <v>0.0</v>
      </c>
      <c r="V25" s="6574">
        <f>IF(HLOOKUP("Shots",A1:CV300,25,FALSE)=0,0,HLOOKUP("SOT",A1:CV300,25,FALSE)/HLOOKUP("Shots",A1:CV300,25,FALSE))</f>
      </c>
      <c r="W25" s="6575">
        <f>IF(HLOOKUP("Shots",A1:CV300,25,FALSE)=0,0,HLOOKUP("Gs",A1:CV300,25,FALSE)/HLOOKUP("Shots",A1:CV300,25,FALSE))</f>
      </c>
      <c r="X25" t="n" s="6576">
        <v>0.0</v>
      </c>
      <c r="Y25" t="n" s="6577">
        <v>0.0</v>
      </c>
      <c r="Z25" t="n" s="6578">
        <v>0.0</v>
      </c>
      <c r="AA25" s="6579">
        <f>IF(HLOOKUP("KP",A1:CV300,25,FALSE)=0,0,HLOOKUP("As",A1:CV300,25,FALSE)/HLOOKUP("KP",A1:CV300,25,FALSE))</f>
      </c>
      <c r="AB25" t="n" s="6580">
        <v>1.0</v>
      </c>
      <c r="AC25" t="n" s="6581">
        <v>0.0</v>
      </c>
      <c r="AD25" t="n" s="6582">
        <v>0.0</v>
      </c>
      <c r="AE25" t="n" s="6583">
        <v>0.0</v>
      </c>
      <c r="AF25" t="n" s="6584">
        <v>0.0</v>
      </c>
      <c r="AG25" s="6585">
        <f>IF(HLOOKUP("BC",A1:CV300,25,FALSE)=0,0,HLOOKUP("Gs - BC",A1:CV300,25,FALSE)/HLOOKUP("BC",A1:CV300,25,FALSE))</f>
      </c>
      <c r="AH25" s="6586">
        <f>HLOOKUP("BC",A1:CV300,25,FALSE) - HLOOKUP("BC Miss",A1:CV300,25,FALSE)</f>
      </c>
      <c r="AI25" s="6587">
        <f>IF(HLOOKUP("Gs",A1:CV300,25,FALSE)=0,0,HLOOKUP("Gs - BC",A1:CV300,25,FALSE)/HLOOKUP("Gs",A1:CV300,25,FALSE))</f>
      </c>
      <c r="AJ25" t="n" s="6588">
        <v>0.0</v>
      </c>
      <c r="AK25" t="n" s="6589">
        <v>0.0</v>
      </c>
      <c r="AL25" s="6590">
        <f>HLOOKUP("BC",A1:CV300,25,FALSE) - (HLOOKUP("PK Gs",A1:CV300,25,FALSE) + HLOOKUP("PK Miss",A1:CV300,25,FALSE))</f>
      </c>
      <c r="AM25" s="6591">
        <f>HLOOKUP("BC Miss",A1:CV300,25,FALSE) - HLOOKUP("PK Miss",A1:CV300,25,FALSE)</f>
      </c>
      <c r="AN25" s="6592">
        <f>IF(HLOOKUP("BC - Open",A1:CV300,25,FALSE)=0,0,HLOOKUP("BC - Open Miss",A1:CV300,25,FALSE)/HLOOKUP("BC - Open",A1:CV300,25,FALSE))</f>
      </c>
      <c r="AO25" t="n" s="6593">
        <v>0.0</v>
      </c>
      <c r="AP25" s="6594">
        <f>IF(HLOOKUP("Gs",A1:CV300,25,FALSE)=0,0,HLOOKUP("GIB",A1:CV300,25,FALSE)/HLOOKUP("Gs",A1:CV300,25,FALSE))</f>
      </c>
      <c r="AQ25" t="n" s="6595">
        <v>0.0</v>
      </c>
      <c r="AR25" s="6596">
        <f>IF(HLOOKUP("Gs",A1:CV300,25,FALSE)=0,0,HLOOKUP("Gs - Open",A1:CV300,25,FALSE)/HLOOKUP("Gs",A1:CV300,25,FALSE))</f>
      </c>
      <c r="AS25" t="n" s="6597">
        <v>0.0</v>
      </c>
      <c r="AT25" t="n" s="6598">
        <v>0.0</v>
      </c>
      <c r="AU25" s="6599">
        <f>IF(HLOOKUP("Mins",A1:CV300,25,FALSE)=0,0,HLOOKUP("Pts",A1:CV300,25,FALSE)/HLOOKUP("Mins",A1:CV300,25,FALSE)* 90)</f>
      </c>
      <c r="AV25" s="6600">
        <f>IF(HLOOKUP("Apps",A1:CV300,25,FALSE)=0,0,HLOOKUP("Pts",A1:CV300,25,FALSE)/HLOOKUP("Apps",A1:CV300,25,FALSE)* 1)</f>
      </c>
      <c r="AW25" s="6601">
        <f>IF(HLOOKUP("Mins",A1:CV300,25,FALSE)=0,0,HLOOKUP("Gs",A1:CV300,25,FALSE)/HLOOKUP("Mins",A1:CV300,25,FALSE)* 90)</f>
      </c>
      <c r="AX25" s="6602">
        <f>IF(HLOOKUP("Mins",A1:CV300,25,FALSE)=0,0,HLOOKUP("Bonus",A1:CV300,25,FALSE)/HLOOKUP("Mins",A1:CV300,25,FALSE)* 90)</f>
      </c>
      <c r="AY25" s="6603">
        <f>IF(HLOOKUP("Mins",A1:CV300,25,FALSE)=0,0,HLOOKUP("BPS",A1:CV300,25,FALSE)/HLOOKUP("Mins",A1:CV300,25,FALSE)* 90)</f>
      </c>
      <c r="AZ25" s="6604">
        <f>IF(HLOOKUP("Mins",A1:CV300,25,FALSE)=0,0,HLOOKUP("Base BPS",A1:CV300,25,FALSE)/HLOOKUP("Mins",A1:CV300,25,FALSE)* 90)</f>
      </c>
      <c r="BA25" s="6605">
        <f>IF(HLOOKUP("Mins",A1:CV300,25,FALSE)=0,0,HLOOKUP("PenTchs",A1:CV300,25,FALSE)/HLOOKUP("Mins",A1:CV300,25,FALSE)* 90)</f>
      </c>
      <c r="BB25" s="6606">
        <f>IF(HLOOKUP("Mins",A1:CV300,25,FALSE)=0,0,HLOOKUP("Shots",A1:CV300,25,FALSE)/HLOOKUP("Mins",A1:CV300,25,FALSE)* 90)</f>
      </c>
      <c r="BC25" s="6607">
        <f>IF(HLOOKUP("Mins",A1:CV300,25,FALSE)=0,0,HLOOKUP("SIB",A1:CV300,25,FALSE)/HLOOKUP("Mins",A1:CV300,25,FALSE)* 90)</f>
      </c>
      <c r="BD25" s="6608">
        <f>IF(HLOOKUP("Mins",A1:CV300,25,FALSE)=0,0,HLOOKUP("S6YD",A1:CV300,25,FALSE)/HLOOKUP("Mins",A1:CV300,25,FALSE)* 90)</f>
      </c>
      <c r="BE25" s="6609">
        <f>IF(HLOOKUP("Mins",A1:CV300,25,FALSE)=0,0,HLOOKUP("Headers",A1:CV300,25,FALSE)/HLOOKUP("Mins",A1:CV300,25,FALSE)* 90)</f>
      </c>
      <c r="BF25" s="6610">
        <f>IF(HLOOKUP("Mins",A1:CV300,25,FALSE)=0,0,HLOOKUP("SOT",A1:CV300,25,FALSE)/HLOOKUP("Mins",A1:CV300,25,FALSE)* 90)</f>
      </c>
      <c r="BG25" s="6611">
        <f>IF(HLOOKUP("Mins",A1:CV300,25,FALSE)=0,0,HLOOKUP("As",A1:CV300,25,FALSE)/HLOOKUP("Mins",A1:CV300,25,FALSE)* 90)</f>
      </c>
      <c r="BH25" s="6612">
        <f>IF(HLOOKUP("Mins",A1:CV300,25,FALSE)=0,0,HLOOKUP("FPL As",A1:CV300,25,FALSE)/HLOOKUP("Mins",A1:CV300,25,FALSE)* 90)</f>
      </c>
      <c r="BI25" s="6613">
        <f>IF(HLOOKUP("Mins",A1:CV300,25,FALSE)=0,0,HLOOKUP("BC Created",A1:CV300,25,FALSE)/HLOOKUP("Mins",A1:CV300,25,FALSE)* 90)</f>
      </c>
      <c r="BJ25" s="6614">
        <f>IF(HLOOKUP("Mins",A1:CV300,25,FALSE)=0,0,HLOOKUP("KP",A1:CV300,25,FALSE)/HLOOKUP("Mins",A1:CV300,25,FALSE)* 90)</f>
      </c>
      <c r="BK25" s="6615">
        <f>IF(HLOOKUP("Mins",A1:CV300,25,FALSE)=0,0,HLOOKUP("BC",A1:CV300,25,FALSE)/HLOOKUP("Mins",A1:CV300,25,FALSE)* 90)</f>
      </c>
      <c r="BL25" s="6616">
        <f>IF(HLOOKUP("Mins",A1:CV300,25,FALSE)=0,0,HLOOKUP("BC Miss",A1:CV300,25,FALSE)/HLOOKUP("Mins",A1:CV300,25,FALSE)* 90)</f>
      </c>
      <c r="BM25" s="6617">
        <f>IF(HLOOKUP("Mins",A1:CV300,25,FALSE)=0,0,HLOOKUP("Gs - BC",A1:CV300,25,FALSE)/HLOOKUP("Mins",A1:CV300,25,FALSE)* 90)</f>
      </c>
      <c r="BN25" s="6618">
        <f>IF(HLOOKUP("Mins",A1:CV300,25,FALSE)=0,0,HLOOKUP("GIB",A1:CV300,25,FALSE)/HLOOKUP("Mins",A1:CV300,25,FALSE)* 90)</f>
      </c>
      <c r="BO25" s="6619">
        <f>IF(HLOOKUP("Mins",A1:CV300,25,FALSE)=0,0,HLOOKUP("Gs - Open",A1:CV300,25,FALSE)/HLOOKUP("Mins",A1:CV300,25,FALSE)* 90)</f>
      </c>
      <c r="BP25" s="6620">
        <f>IF(HLOOKUP("Mins",A1:CV300,25,FALSE)=0,0,HLOOKUP("ICT Index",A1:CV300,25,FALSE)/HLOOKUP("Mins",A1:CV300,25,FALSE)* 90)</f>
      </c>
      <c r="BQ25" s="6621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6622">
        <f>0.0825*HLOOKUP("KP/90",A1:CV300,25,FALSE)</f>
      </c>
      <c r="BS25" s="6623">
        <f>6*HLOOKUP("xG/90",A1:CV300,25,FALSE)+3*HLOOKUP("xA/90",A1:CV300,25,FALSE)</f>
      </c>
      <c r="BT25" s="6624">
        <f>HLOOKUP("xPts/90",A1:CV300,25,FALSE)-(6*0.75*(HLOOKUP("PK Gs",A1:CV300,25,FALSE)+HLOOKUP("PK Miss",A1:CV300,25,FALSE))*90/HLOOKUP("Mins",A1:CV300,25,FALSE))</f>
      </c>
      <c r="BU25" s="6625">
        <f>IF(HLOOKUP("Mins",A1:CV300,25,FALSE)=0,0,HLOOKUP("fsXG",A1:CV300,25,FALSE)/HLOOKUP("Mins",A1:CV300,25,FALSE)* 90)</f>
      </c>
      <c r="BV25" s="6626">
        <f>IF(HLOOKUP("Mins",A1:CV300,25,FALSE)=0,0,HLOOKUP("fsXA",A1:CV300,25,FALSE)/HLOOKUP("Mins",A1:CV300,25,FALSE)* 90)</f>
      </c>
      <c r="BW25" s="6627">
        <f>6*HLOOKUP("fsXG/90",A1:CV300,25,FALSE)+3*HLOOKUP("fsXA/90",A1:CV300,25,FALSE)</f>
      </c>
      <c r="BX25" t="n" s="6628">
        <v>0.0</v>
      </c>
      <c r="BY25" t="n" s="6629">
        <v>0.0</v>
      </c>
      <c r="BZ25" s="6630">
        <f>6*HLOOKUP("uXG/90",A1:CV300,25,FALSE)+3*HLOOKUP("uXA/90",A1:CV300,25,FALSE)</f>
      </c>
    </row>
    <row r="26">
      <c r="A26" t="s" s="6631">
        <v>182</v>
      </c>
      <c r="B26" t="s" s="6632">
        <v>127</v>
      </c>
      <c r="C26" t="n" s="6633">
        <v>7.5</v>
      </c>
      <c r="D26" t="n" s="6634">
        <v>450.0</v>
      </c>
      <c r="E26" t="n" s="6635">
        <v>5.0</v>
      </c>
      <c r="F26" t="n" s="6636">
        <v>118.0</v>
      </c>
      <c r="G26" t="n" s="6637">
        <v>1.0</v>
      </c>
      <c r="H26" t="n" s="6638">
        <v>12.0</v>
      </c>
      <c r="I26" t="n" s="6639">
        <v>525.0</v>
      </c>
      <c r="J26" s="6640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6641">
        <v>0.0</v>
      </c>
      <c r="L26" t="n" s="6642">
        <v>7.0</v>
      </c>
      <c r="M26" t="n" s="6643">
        <v>9.0</v>
      </c>
      <c r="N26" t="n" s="6644">
        <v>6.0</v>
      </c>
      <c r="O26" t="n" s="6645">
        <v>2.0</v>
      </c>
      <c r="P26" s="6646">
        <f>IF(HLOOKUP("Shots",A1:CV300,26,FALSE)=0,0,HLOOKUP("SIB",A1:CV300,26,FALSE)/HLOOKUP("Shots",A1:CV300,26,FALSE))</f>
      </c>
      <c r="Q26" t="n" s="6647">
        <v>0.0</v>
      </c>
      <c r="R26" s="6648">
        <f>IF(HLOOKUP("Shots",A1:CV300,26,FALSE)=0,0,HLOOKUP("S6YD",A1:CV300,26,FALSE)/HLOOKUP("Shots",A1:CV300,26,FALSE))</f>
      </c>
      <c r="S26" t="n" s="6649">
        <v>0.0</v>
      </c>
      <c r="T26" s="6650">
        <f>IF(HLOOKUP("Shots",A1:CV300,26,FALSE)=0,0,HLOOKUP("Headers",A1:CV300,26,FALSE)/HLOOKUP("Shots",A1:CV300,26,FALSE))</f>
      </c>
      <c r="U26" t="n" s="6651">
        <v>2.0</v>
      </c>
      <c r="V26" s="6652">
        <f>IF(HLOOKUP("Shots",A1:CV300,26,FALSE)=0,0,HLOOKUP("SOT",A1:CV300,26,FALSE)/HLOOKUP("Shots",A1:CV300,26,FALSE))</f>
      </c>
      <c r="W26" s="6653">
        <f>IF(HLOOKUP("Shots",A1:CV300,26,FALSE)=0,0,HLOOKUP("Gs",A1:CV300,26,FALSE)/HLOOKUP("Shots",A1:CV300,26,FALSE))</f>
      </c>
      <c r="X26" t="n" s="6654">
        <v>2.0</v>
      </c>
      <c r="Y26" t="n" s="6655">
        <v>10.0</v>
      </c>
      <c r="Z26" t="n" s="6656">
        <v>9.0</v>
      </c>
      <c r="AA26" s="6657">
        <f>IF(HLOOKUP("KP",A1:CV300,26,FALSE)=0,0,HLOOKUP("As",A1:CV300,26,FALSE)/HLOOKUP("KP",A1:CV300,26,FALSE))</f>
      </c>
      <c r="AB26" t="n" s="6658">
        <v>39.5</v>
      </c>
      <c r="AC26" t="n" s="6659">
        <v>40.0</v>
      </c>
      <c r="AD26" t="n" s="6660">
        <v>4.0</v>
      </c>
      <c r="AE26" t="n" s="6661">
        <v>0.0</v>
      </c>
      <c r="AF26" t="n" s="6662">
        <v>0.0</v>
      </c>
      <c r="AG26" s="6663">
        <f>IF(HLOOKUP("BC",A1:CV300,26,FALSE)=0,0,HLOOKUP("Gs - BC",A1:CV300,26,FALSE)/HLOOKUP("BC",A1:CV300,26,FALSE))</f>
      </c>
      <c r="AH26" s="6664">
        <f>HLOOKUP("BC",A1:CV300,26,FALSE) - HLOOKUP("BC Miss",A1:CV300,26,FALSE)</f>
      </c>
      <c r="AI26" s="6665">
        <f>IF(HLOOKUP("Gs",A1:CV300,26,FALSE)=0,0,HLOOKUP("Gs - BC",A1:CV300,26,FALSE)/HLOOKUP("Gs",A1:CV300,26,FALSE))</f>
      </c>
      <c r="AJ26" t="n" s="6666">
        <v>0.0</v>
      </c>
      <c r="AK26" t="n" s="6667">
        <v>0.0</v>
      </c>
      <c r="AL26" s="6668">
        <f>HLOOKUP("BC",A1:CV300,26,FALSE) - (HLOOKUP("PK Gs",A1:CV300,26,FALSE) + HLOOKUP("PK Miss",A1:CV300,26,FALSE))</f>
      </c>
      <c r="AM26" s="6669">
        <f>HLOOKUP("BC Miss",A1:CV300,26,FALSE) - HLOOKUP("PK Miss",A1:CV300,26,FALSE)</f>
      </c>
      <c r="AN26" s="6670">
        <f>IF(HLOOKUP("BC - Open",A1:CV300,26,FALSE)=0,0,HLOOKUP("BC - Open Miss",A1:CV300,26,FALSE)/HLOOKUP("BC - Open",A1:CV300,26,FALSE))</f>
      </c>
      <c r="AO26" t="n" s="6671">
        <v>1.0</v>
      </c>
      <c r="AP26" s="6672">
        <f>IF(HLOOKUP("Gs",A1:CV300,26,FALSE)=0,0,HLOOKUP("GIB",A1:CV300,26,FALSE)/HLOOKUP("Gs",A1:CV300,26,FALSE))</f>
      </c>
      <c r="AQ26" t="n" s="6673">
        <v>1.0</v>
      </c>
      <c r="AR26" s="6674">
        <f>IF(HLOOKUP("Gs",A1:CV300,26,FALSE)=0,0,HLOOKUP("Gs - Open",A1:CV300,26,FALSE)/HLOOKUP("Gs",A1:CV300,26,FALSE))</f>
      </c>
      <c r="AS26" t="n" s="6675">
        <v>0.24</v>
      </c>
      <c r="AT26" t="n" s="6676">
        <v>1.33</v>
      </c>
      <c r="AU26" s="6677">
        <f>IF(HLOOKUP("Mins",A1:CV300,26,FALSE)=0,0,HLOOKUP("Pts",A1:CV300,26,FALSE)/HLOOKUP("Mins",A1:CV300,26,FALSE)* 90)</f>
      </c>
      <c r="AV26" s="6678">
        <f>IF(HLOOKUP("Apps",A1:CV300,26,FALSE)=0,0,HLOOKUP("Pts",A1:CV300,26,FALSE)/HLOOKUP("Apps",A1:CV300,26,FALSE)* 1)</f>
      </c>
      <c r="AW26" s="6679">
        <f>IF(HLOOKUP("Mins",A1:CV300,26,FALSE)=0,0,HLOOKUP("Gs",A1:CV300,26,FALSE)/HLOOKUP("Mins",A1:CV300,26,FALSE)* 90)</f>
      </c>
      <c r="AX26" s="6680">
        <f>IF(HLOOKUP("Mins",A1:CV300,26,FALSE)=0,0,HLOOKUP("Bonus",A1:CV300,26,FALSE)/HLOOKUP("Mins",A1:CV300,26,FALSE)* 90)</f>
      </c>
      <c r="AY26" s="6681">
        <f>IF(HLOOKUP("Mins",A1:CV300,26,FALSE)=0,0,HLOOKUP("BPS",A1:CV300,26,FALSE)/HLOOKUP("Mins",A1:CV300,26,FALSE)* 90)</f>
      </c>
      <c r="AZ26" s="6682">
        <f>IF(HLOOKUP("Mins",A1:CV300,26,FALSE)=0,0,HLOOKUP("Base BPS",A1:CV300,26,FALSE)/HLOOKUP("Mins",A1:CV300,26,FALSE)* 90)</f>
      </c>
      <c r="BA26" s="6683">
        <f>IF(HLOOKUP("Mins",A1:CV300,26,FALSE)=0,0,HLOOKUP("PenTchs",A1:CV300,26,FALSE)/HLOOKUP("Mins",A1:CV300,26,FALSE)* 90)</f>
      </c>
      <c r="BB26" s="6684">
        <f>IF(HLOOKUP("Mins",A1:CV300,26,FALSE)=0,0,HLOOKUP("Shots",A1:CV300,26,FALSE)/HLOOKUP("Mins",A1:CV300,26,FALSE)* 90)</f>
      </c>
      <c r="BC26" s="6685">
        <f>IF(HLOOKUP("Mins",A1:CV300,26,FALSE)=0,0,HLOOKUP("SIB",A1:CV300,26,FALSE)/HLOOKUP("Mins",A1:CV300,26,FALSE)* 90)</f>
      </c>
      <c r="BD26" s="6686">
        <f>IF(HLOOKUP("Mins",A1:CV300,26,FALSE)=0,0,HLOOKUP("S6YD",A1:CV300,26,FALSE)/HLOOKUP("Mins",A1:CV300,26,FALSE)* 90)</f>
      </c>
      <c r="BE26" s="6687">
        <f>IF(HLOOKUP("Mins",A1:CV300,26,FALSE)=0,0,HLOOKUP("Headers",A1:CV300,26,FALSE)/HLOOKUP("Mins",A1:CV300,26,FALSE)* 90)</f>
      </c>
      <c r="BF26" s="6688">
        <f>IF(HLOOKUP("Mins",A1:CV300,26,FALSE)=0,0,HLOOKUP("SOT",A1:CV300,26,FALSE)/HLOOKUP("Mins",A1:CV300,26,FALSE)* 90)</f>
      </c>
      <c r="BG26" s="6689">
        <f>IF(HLOOKUP("Mins",A1:CV300,26,FALSE)=0,0,HLOOKUP("As",A1:CV300,26,FALSE)/HLOOKUP("Mins",A1:CV300,26,FALSE)* 90)</f>
      </c>
      <c r="BH26" s="6690">
        <f>IF(HLOOKUP("Mins",A1:CV300,26,FALSE)=0,0,HLOOKUP("FPL As",A1:CV300,26,FALSE)/HLOOKUP("Mins",A1:CV300,26,FALSE)* 90)</f>
      </c>
      <c r="BI26" s="6691">
        <f>IF(HLOOKUP("Mins",A1:CV300,26,FALSE)=0,0,HLOOKUP("BC Created",A1:CV300,26,FALSE)/HLOOKUP("Mins",A1:CV300,26,FALSE)* 90)</f>
      </c>
      <c r="BJ26" s="6692">
        <f>IF(HLOOKUP("Mins",A1:CV300,26,FALSE)=0,0,HLOOKUP("KP",A1:CV300,26,FALSE)/HLOOKUP("Mins",A1:CV300,26,FALSE)* 90)</f>
      </c>
      <c r="BK26" s="6693">
        <f>IF(HLOOKUP("Mins",A1:CV300,26,FALSE)=0,0,HLOOKUP("BC",A1:CV300,26,FALSE)/HLOOKUP("Mins",A1:CV300,26,FALSE)* 90)</f>
      </c>
      <c r="BL26" s="6694">
        <f>IF(HLOOKUP("Mins",A1:CV300,26,FALSE)=0,0,HLOOKUP("BC Miss",A1:CV300,26,FALSE)/HLOOKUP("Mins",A1:CV300,26,FALSE)* 90)</f>
      </c>
      <c r="BM26" s="6695">
        <f>IF(HLOOKUP("Mins",A1:CV300,26,FALSE)=0,0,HLOOKUP("Gs - BC",A1:CV300,26,FALSE)/HLOOKUP("Mins",A1:CV300,26,FALSE)* 90)</f>
      </c>
      <c r="BN26" s="6696">
        <f>IF(HLOOKUP("Mins",A1:CV300,26,FALSE)=0,0,HLOOKUP("GIB",A1:CV300,26,FALSE)/HLOOKUP("Mins",A1:CV300,26,FALSE)* 90)</f>
      </c>
      <c r="BO26" s="6697">
        <f>IF(HLOOKUP("Mins",A1:CV300,26,FALSE)=0,0,HLOOKUP("Gs - Open",A1:CV300,26,FALSE)/HLOOKUP("Mins",A1:CV300,26,FALSE)* 90)</f>
      </c>
      <c r="BP26" s="6698">
        <f>IF(HLOOKUP("Mins",A1:CV300,26,FALSE)=0,0,HLOOKUP("ICT Index",A1:CV300,26,FALSE)/HLOOKUP("Mins",A1:CV300,26,FALSE)* 90)</f>
      </c>
      <c r="BQ26" s="6699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6700">
        <f>0.0825*HLOOKUP("KP/90",A1:CV300,26,FALSE)</f>
      </c>
      <c r="BS26" s="6701">
        <f>6*HLOOKUP("xG/90",A1:CV300,26,FALSE)+3*HLOOKUP("xA/90",A1:CV300,26,FALSE)</f>
      </c>
      <c r="BT26" s="6702">
        <f>HLOOKUP("xPts/90",A1:CV300,26,FALSE)-(6*0.75*(HLOOKUP("PK Gs",A1:CV300,26,FALSE)+HLOOKUP("PK Miss",A1:CV300,26,FALSE))*90/HLOOKUP("Mins",A1:CV300,26,FALSE))</f>
      </c>
      <c r="BU26" s="6703">
        <f>IF(HLOOKUP("Mins",A1:CV300,26,FALSE)=0,0,HLOOKUP("fsXG",A1:CV300,26,FALSE)/HLOOKUP("Mins",A1:CV300,26,FALSE)* 90)</f>
      </c>
      <c r="BV26" s="6704">
        <f>IF(HLOOKUP("Mins",A1:CV300,26,FALSE)=0,0,HLOOKUP("fsXA",A1:CV300,26,FALSE)/HLOOKUP("Mins",A1:CV300,26,FALSE)* 90)</f>
      </c>
      <c r="BW26" s="6705">
        <f>6*HLOOKUP("fsXG/90",A1:CV300,26,FALSE)+3*HLOOKUP("fsXA/90",A1:CV300,26,FALSE)</f>
      </c>
      <c r="BX26" t="n" s="6706">
        <v>0.059433817863464355</v>
      </c>
      <c r="BY26" t="n" s="6707">
        <v>0.43260639905929565</v>
      </c>
      <c r="BZ26" s="6708">
        <f>6*HLOOKUP("uXG/90",A1:CV300,26,FALSE)+3*HLOOKUP("uXA/90",A1:CV300,26,FALSE)</f>
      </c>
    </row>
    <row r="27">
      <c r="A27" t="s" s="6709">
        <v>183</v>
      </c>
      <c r="B27" t="s" s="6710">
        <v>107</v>
      </c>
      <c r="C27" t="n" s="6711">
        <v>5.0</v>
      </c>
      <c r="D27" t="n" s="6712">
        <v>225.0</v>
      </c>
      <c r="E27" t="n" s="6713">
        <v>3.0</v>
      </c>
      <c r="F27" t="n" s="6714">
        <v>7.0</v>
      </c>
      <c r="G27" t="n" s="6715">
        <v>0.0</v>
      </c>
      <c r="H27" t="n" s="6716">
        <v>0.0</v>
      </c>
      <c r="I27" t="n" s="6717">
        <v>69.0</v>
      </c>
      <c r="J27" s="6718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6719">
        <v>0.0</v>
      </c>
      <c r="L27" t="n" s="6720">
        <v>0.0</v>
      </c>
      <c r="M27" t="n" s="6721">
        <v>0.0</v>
      </c>
      <c r="N27" t="n" s="6722">
        <v>0.0</v>
      </c>
      <c r="O27" t="n" s="6723">
        <v>0.0</v>
      </c>
      <c r="P27" s="6724">
        <f>IF(HLOOKUP("Shots",A1:CV300,27,FALSE)=0,0,HLOOKUP("SIB",A1:CV300,27,FALSE)/HLOOKUP("Shots",A1:CV300,27,FALSE))</f>
      </c>
      <c r="Q27" t="n" s="6725">
        <v>0.0</v>
      </c>
      <c r="R27" s="6726">
        <f>IF(HLOOKUP("Shots",A1:CV300,27,FALSE)=0,0,HLOOKUP("S6YD",A1:CV300,27,FALSE)/HLOOKUP("Shots",A1:CV300,27,FALSE))</f>
      </c>
      <c r="S27" t="n" s="6727">
        <v>0.0</v>
      </c>
      <c r="T27" s="6728">
        <f>IF(HLOOKUP("Shots",A1:CV300,27,FALSE)=0,0,HLOOKUP("Headers",A1:CV300,27,FALSE)/HLOOKUP("Shots",A1:CV300,27,FALSE))</f>
      </c>
      <c r="U27" t="n" s="6729">
        <v>0.0</v>
      </c>
      <c r="V27" s="6730">
        <f>IF(HLOOKUP("Shots",A1:CV300,27,FALSE)=0,0,HLOOKUP("SOT",A1:CV300,27,FALSE)/HLOOKUP("Shots",A1:CV300,27,FALSE))</f>
      </c>
      <c r="W27" s="6731">
        <f>IF(HLOOKUP("Shots",A1:CV300,27,FALSE)=0,0,HLOOKUP("Gs",A1:CV300,27,FALSE)/HLOOKUP("Shots",A1:CV300,27,FALSE))</f>
      </c>
      <c r="X27" t="n" s="6732">
        <v>0.0</v>
      </c>
      <c r="Y27" t="n" s="6733">
        <v>0.0</v>
      </c>
      <c r="Z27" t="n" s="6734">
        <v>0.0</v>
      </c>
      <c r="AA27" s="6735">
        <f>IF(HLOOKUP("KP",A1:CV300,27,FALSE)=0,0,HLOOKUP("As",A1:CV300,27,FALSE)/HLOOKUP("KP",A1:CV300,27,FALSE))</f>
      </c>
      <c r="AB27" t="n" s="6736">
        <v>4.7</v>
      </c>
      <c r="AC27" t="n" s="6737">
        <v>0.0</v>
      </c>
      <c r="AD27" t="n" s="6738">
        <v>0.0</v>
      </c>
      <c r="AE27" t="n" s="6739">
        <v>0.0</v>
      </c>
      <c r="AF27" t="n" s="6740">
        <v>0.0</v>
      </c>
      <c r="AG27" s="6741">
        <f>IF(HLOOKUP("BC",A1:CV300,27,FALSE)=0,0,HLOOKUP("Gs - BC",A1:CV300,27,FALSE)/HLOOKUP("BC",A1:CV300,27,FALSE))</f>
      </c>
      <c r="AH27" s="6742">
        <f>HLOOKUP("BC",A1:CV300,27,FALSE) - HLOOKUP("BC Miss",A1:CV300,27,FALSE)</f>
      </c>
      <c r="AI27" s="6743">
        <f>IF(HLOOKUP("Gs",A1:CV300,27,FALSE)=0,0,HLOOKUP("Gs - BC",A1:CV300,27,FALSE)/HLOOKUP("Gs",A1:CV300,27,FALSE))</f>
      </c>
      <c r="AJ27" t="n" s="6744">
        <v>0.0</v>
      </c>
      <c r="AK27" t="n" s="6745">
        <v>0.0</v>
      </c>
      <c r="AL27" s="6746">
        <f>HLOOKUP("BC",A1:CV300,27,FALSE) - (HLOOKUP("PK Gs",A1:CV300,27,FALSE) + HLOOKUP("PK Miss",A1:CV300,27,FALSE))</f>
      </c>
      <c r="AM27" s="6747">
        <f>HLOOKUP("BC Miss",A1:CV300,27,FALSE) - HLOOKUP("PK Miss",A1:CV300,27,FALSE)</f>
      </c>
      <c r="AN27" s="6748">
        <f>IF(HLOOKUP("BC - Open",A1:CV300,27,FALSE)=0,0,HLOOKUP("BC - Open Miss",A1:CV300,27,FALSE)/HLOOKUP("BC - Open",A1:CV300,27,FALSE))</f>
      </c>
      <c r="AO27" t="n" s="6749">
        <v>0.0</v>
      </c>
      <c r="AP27" s="6750">
        <f>IF(HLOOKUP("Gs",A1:CV300,27,FALSE)=0,0,HLOOKUP("GIB",A1:CV300,27,FALSE)/HLOOKUP("Gs",A1:CV300,27,FALSE))</f>
      </c>
      <c r="AQ27" t="n" s="6751">
        <v>0.0</v>
      </c>
      <c r="AR27" s="6752">
        <f>IF(HLOOKUP("Gs",A1:CV300,27,FALSE)=0,0,HLOOKUP("Gs - Open",A1:CV300,27,FALSE)/HLOOKUP("Gs",A1:CV300,27,FALSE))</f>
      </c>
      <c r="AS27" t="n" s="6753">
        <v>0.0</v>
      </c>
      <c r="AT27" t="n" s="6754">
        <v>0.02</v>
      </c>
      <c r="AU27" s="6755">
        <f>IF(HLOOKUP("Mins",A1:CV300,27,FALSE)=0,0,HLOOKUP("Pts",A1:CV300,27,FALSE)/HLOOKUP("Mins",A1:CV300,27,FALSE)* 90)</f>
      </c>
      <c r="AV27" s="6756">
        <f>IF(HLOOKUP("Apps",A1:CV300,27,FALSE)=0,0,HLOOKUP("Pts",A1:CV300,27,FALSE)/HLOOKUP("Apps",A1:CV300,27,FALSE)* 1)</f>
      </c>
      <c r="AW27" s="6757">
        <f>IF(HLOOKUP("Mins",A1:CV300,27,FALSE)=0,0,HLOOKUP("Gs",A1:CV300,27,FALSE)/HLOOKUP("Mins",A1:CV300,27,FALSE)* 90)</f>
      </c>
      <c r="AX27" s="6758">
        <f>IF(HLOOKUP("Mins",A1:CV300,27,FALSE)=0,0,HLOOKUP("Bonus",A1:CV300,27,FALSE)/HLOOKUP("Mins",A1:CV300,27,FALSE)* 90)</f>
      </c>
      <c r="AY27" s="6759">
        <f>IF(HLOOKUP("Mins",A1:CV300,27,FALSE)=0,0,HLOOKUP("BPS",A1:CV300,27,FALSE)/HLOOKUP("Mins",A1:CV300,27,FALSE)* 90)</f>
      </c>
      <c r="AZ27" s="6760">
        <f>IF(HLOOKUP("Mins",A1:CV300,27,FALSE)=0,0,HLOOKUP("Base BPS",A1:CV300,27,FALSE)/HLOOKUP("Mins",A1:CV300,27,FALSE)* 90)</f>
      </c>
      <c r="BA27" s="6761">
        <f>IF(HLOOKUP("Mins",A1:CV300,27,FALSE)=0,0,HLOOKUP("PenTchs",A1:CV300,27,FALSE)/HLOOKUP("Mins",A1:CV300,27,FALSE)* 90)</f>
      </c>
      <c r="BB27" s="6762">
        <f>IF(HLOOKUP("Mins",A1:CV300,27,FALSE)=0,0,HLOOKUP("Shots",A1:CV300,27,FALSE)/HLOOKUP("Mins",A1:CV300,27,FALSE)* 90)</f>
      </c>
      <c r="BC27" s="6763">
        <f>IF(HLOOKUP("Mins",A1:CV300,27,FALSE)=0,0,HLOOKUP("SIB",A1:CV300,27,FALSE)/HLOOKUP("Mins",A1:CV300,27,FALSE)* 90)</f>
      </c>
      <c r="BD27" s="6764">
        <f>IF(HLOOKUP("Mins",A1:CV300,27,FALSE)=0,0,HLOOKUP("S6YD",A1:CV300,27,FALSE)/HLOOKUP("Mins",A1:CV300,27,FALSE)* 90)</f>
      </c>
      <c r="BE27" s="6765">
        <f>IF(HLOOKUP("Mins",A1:CV300,27,FALSE)=0,0,HLOOKUP("Headers",A1:CV300,27,FALSE)/HLOOKUP("Mins",A1:CV300,27,FALSE)* 90)</f>
      </c>
      <c r="BF27" s="6766">
        <f>IF(HLOOKUP("Mins",A1:CV300,27,FALSE)=0,0,HLOOKUP("SOT",A1:CV300,27,FALSE)/HLOOKUP("Mins",A1:CV300,27,FALSE)* 90)</f>
      </c>
      <c r="BG27" s="6767">
        <f>IF(HLOOKUP("Mins",A1:CV300,27,FALSE)=0,0,HLOOKUP("As",A1:CV300,27,FALSE)/HLOOKUP("Mins",A1:CV300,27,FALSE)* 90)</f>
      </c>
      <c r="BH27" s="6768">
        <f>IF(HLOOKUP("Mins",A1:CV300,27,FALSE)=0,0,HLOOKUP("FPL As",A1:CV300,27,FALSE)/HLOOKUP("Mins",A1:CV300,27,FALSE)* 90)</f>
      </c>
      <c r="BI27" s="6769">
        <f>IF(HLOOKUP("Mins",A1:CV300,27,FALSE)=0,0,HLOOKUP("BC Created",A1:CV300,27,FALSE)/HLOOKUP("Mins",A1:CV300,27,FALSE)* 90)</f>
      </c>
      <c r="BJ27" s="6770">
        <f>IF(HLOOKUP("Mins",A1:CV300,27,FALSE)=0,0,HLOOKUP("KP",A1:CV300,27,FALSE)/HLOOKUP("Mins",A1:CV300,27,FALSE)* 90)</f>
      </c>
      <c r="BK27" s="6771">
        <f>IF(HLOOKUP("Mins",A1:CV300,27,FALSE)=0,0,HLOOKUP("BC",A1:CV300,27,FALSE)/HLOOKUP("Mins",A1:CV300,27,FALSE)* 90)</f>
      </c>
      <c r="BL27" s="6772">
        <f>IF(HLOOKUP("Mins",A1:CV300,27,FALSE)=0,0,HLOOKUP("BC Miss",A1:CV300,27,FALSE)/HLOOKUP("Mins",A1:CV300,27,FALSE)* 90)</f>
      </c>
      <c r="BM27" s="6773">
        <f>IF(HLOOKUP("Mins",A1:CV300,27,FALSE)=0,0,HLOOKUP("Gs - BC",A1:CV300,27,FALSE)/HLOOKUP("Mins",A1:CV300,27,FALSE)* 90)</f>
      </c>
      <c r="BN27" s="6774">
        <f>IF(HLOOKUP("Mins",A1:CV300,27,FALSE)=0,0,HLOOKUP("GIB",A1:CV300,27,FALSE)/HLOOKUP("Mins",A1:CV300,27,FALSE)* 90)</f>
      </c>
      <c r="BO27" s="6775">
        <f>IF(HLOOKUP("Mins",A1:CV300,27,FALSE)=0,0,HLOOKUP("Gs - Open",A1:CV300,27,FALSE)/HLOOKUP("Mins",A1:CV300,27,FALSE)* 90)</f>
      </c>
      <c r="BP27" s="6776">
        <f>IF(HLOOKUP("Mins",A1:CV300,27,FALSE)=0,0,HLOOKUP("ICT Index",A1:CV300,27,FALSE)/HLOOKUP("Mins",A1:CV300,27,FALSE)* 90)</f>
      </c>
      <c r="BQ27" s="6777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6778">
        <f>0.0825*HLOOKUP("KP/90",A1:CV300,27,FALSE)</f>
      </c>
      <c r="BS27" s="6779">
        <f>6*HLOOKUP("xG/90",A1:CV300,27,FALSE)+3*HLOOKUP("xA/90",A1:CV300,27,FALSE)</f>
      </c>
      <c r="BT27" s="6780">
        <f>HLOOKUP("xPts/90",A1:CV300,27,FALSE)-(6*0.75*(HLOOKUP("PK Gs",A1:CV300,27,FALSE)+HLOOKUP("PK Miss",A1:CV300,27,FALSE))*90/HLOOKUP("Mins",A1:CV300,27,FALSE))</f>
      </c>
      <c r="BU27" s="6781">
        <f>IF(HLOOKUP("Mins",A1:CV300,27,FALSE)=0,0,HLOOKUP("fsXG",A1:CV300,27,FALSE)/HLOOKUP("Mins",A1:CV300,27,FALSE)* 90)</f>
      </c>
      <c r="BV27" s="6782">
        <f>IF(HLOOKUP("Mins",A1:CV300,27,FALSE)=0,0,HLOOKUP("fsXA",A1:CV300,27,FALSE)/HLOOKUP("Mins",A1:CV300,27,FALSE)* 90)</f>
      </c>
      <c r="BW27" s="6783">
        <f>6*HLOOKUP("fsXG/90",A1:CV300,27,FALSE)+3*HLOOKUP("fsXA/90",A1:CV300,27,FALSE)</f>
      </c>
      <c r="BX27" t="n" s="6784">
        <v>0.0</v>
      </c>
      <c r="BY27" t="n" s="6785">
        <v>0.0</v>
      </c>
      <c r="BZ27" s="6786">
        <f>6*HLOOKUP("uXG/90",A1:CV300,27,FALSE)+3*HLOOKUP("uXA/90",A1:CV300,27,FALSE)</f>
      </c>
    </row>
    <row r="28">
      <c r="A28" t="s" s="6787">
        <v>184</v>
      </c>
      <c r="B28" t="s" s="6788">
        <v>105</v>
      </c>
      <c r="C28" t="n" s="6789">
        <v>5.699999809265137</v>
      </c>
      <c r="D28" t="n" s="6790">
        <v>360.0</v>
      </c>
      <c r="E28" t="n" s="6791">
        <v>4.0</v>
      </c>
      <c r="F28" t="n" s="6792">
        <v>54.0</v>
      </c>
      <c r="G28" t="n" s="6793">
        <v>0.0</v>
      </c>
      <c r="H28" t="n" s="6794">
        <v>3.0</v>
      </c>
      <c r="I28" t="n" s="6795">
        <v>288.0</v>
      </c>
      <c r="J28" s="6796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6797">
        <v>0.0</v>
      </c>
      <c r="L28" t="n" s="6798">
        <v>4.0</v>
      </c>
      <c r="M28" t="n" s="6799">
        <v>4.0</v>
      </c>
      <c r="N28" t="n" s="6800">
        <v>1.0</v>
      </c>
      <c r="O28" t="n" s="6801">
        <v>0.0</v>
      </c>
      <c r="P28" s="6802">
        <f>IF(HLOOKUP("Shots",A1:CV300,28,FALSE)=0,0,HLOOKUP("SIB",A1:CV300,28,FALSE)/HLOOKUP("Shots",A1:CV300,28,FALSE))</f>
      </c>
      <c r="Q28" t="n" s="6803">
        <v>0.0</v>
      </c>
      <c r="R28" s="6804">
        <f>IF(HLOOKUP("Shots",A1:CV300,28,FALSE)=0,0,HLOOKUP("S6YD",A1:CV300,28,FALSE)/HLOOKUP("Shots",A1:CV300,28,FALSE))</f>
      </c>
      <c r="S28" t="n" s="6805">
        <v>0.0</v>
      </c>
      <c r="T28" s="6806">
        <f>IF(HLOOKUP("Shots",A1:CV300,28,FALSE)=0,0,HLOOKUP("Headers",A1:CV300,28,FALSE)/HLOOKUP("Shots",A1:CV300,28,FALSE))</f>
      </c>
      <c r="U28" t="n" s="6807">
        <v>0.0</v>
      </c>
      <c r="V28" s="6808">
        <f>IF(HLOOKUP("Shots",A1:CV300,28,FALSE)=0,0,HLOOKUP("SOT",A1:CV300,28,FALSE)/HLOOKUP("Shots",A1:CV300,28,FALSE))</f>
      </c>
      <c r="W28" s="6809">
        <f>IF(HLOOKUP("Shots",A1:CV300,28,FALSE)=0,0,HLOOKUP("Gs",A1:CV300,28,FALSE)/HLOOKUP("Shots",A1:CV300,28,FALSE))</f>
      </c>
      <c r="X28" t="n" s="6810">
        <v>0.0</v>
      </c>
      <c r="Y28" t="n" s="6811">
        <v>2.0</v>
      </c>
      <c r="Z28" t="n" s="6812">
        <v>2.0</v>
      </c>
      <c r="AA28" s="6813">
        <f>IF(HLOOKUP("KP",A1:CV300,28,FALSE)=0,0,HLOOKUP("As",A1:CV300,28,FALSE)/HLOOKUP("KP",A1:CV300,28,FALSE))</f>
      </c>
      <c r="AB28" t="n" s="6814">
        <v>10.1</v>
      </c>
      <c r="AC28" t="n" s="6815">
        <v>0.0</v>
      </c>
      <c r="AD28" t="n" s="6816">
        <v>0.0</v>
      </c>
      <c r="AE28" t="n" s="6817">
        <v>0.0</v>
      </c>
      <c r="AF28" t="n" s="6818">
        <v>0.0</v>
      </c>
      <c r="AG28" s="6819">
        <f>IF(HLOOKUP("BC",A1:CV300,28,FALSE)=0,0,HLOOKUP("Gs - BC",A1:CV300,28,FALSE)/HLOOKUP("BC",A1:CV300,28,FALSE))</f>
      </c>
      <c r="AH28" s="6820">
        <f>HLOOKUP("BC",A1:CV300,28,FALSE) - HLOOKUP("BC Miss",A1:CV300,28,FALSE)</f>
      </c>
      <c r="AI28" s="6821">
        <f>IF(HLOOKUP("Gs",A1:CV300,28,FALSE)=0,0,HLOOKUP("Gs - BC",A1:CV300,28,FALSE)/HLOOKUP("Gs",A1:CV300,28,FALSE))</f>
      </c>
      <c r="AJ28" t="n" s="6822">
        <v>0.0</v>
      </c>
      <c r="AK28" t="n" s="6823">
        <v>0.0</v>
      </c>
      <c r="AL28" s="6824">
        <f>HLOOKUP("BC",A1:CV300,28,FALSE) - (HLOOKUP("PK Gs",A1:CV300,28,FALSE) + HLOOKUP("PK Miss",A1:CV300,28,FALSE))</f>
      </c>
      <c r="AM28" s="6825">
        <f>HLOOKUP("BC Miss",A1:CV300,28,FALSE) - HLOOKUP("PK Miss",A1:CV300,28,FALSE)</f>
      </c>
      <c r="AN28" s="6826">
        <f>IF(HLOOKUP("BC - Open",A1:CV300,28,FALSE)=0,0,HLOOKUP("BC - Open Miss",A1:CV300,28,FALSE)/HLOOKUP("BC - Open",A1:CV300,28,FALSE))</f>
      </c>
      <c r="AO28" t="n" s="6827">
        <v>0.0</v>
      </c>
      <c r="AP28" s="6828">
        <f>IF(HLOOKUP("Gs",A1:CV300,28,FALSE)=0,0,HLOOKUP("GIB",A1:CV300,28,FALSE)/HLOOKUP("Gs",A1:CV300,28,FALSE))</f>
      </c>
      <c r="AQ28" t="n" s="6829">
        <v>0.0</v>
      </c>
      <c r="AR28" s="6830">
        <f>IF(HLOOKUP("Gs",A1:CV300,28,FALSE)=0,0,HLOOKUP("Gs - Open",A1:CV300,28,FALSE)/HLOOKUP("Gs",A1:CV300,28,FALSE))</f>
      </c>
      <c r="AS28" t="n" s="6831">
        <v>0.01</v>
      </c>
      <c r="AT28" t="n" s="6832">
        <v>0.16</v>
      </c>
      <c r="AU28" s="6833">
        <f>IF(HLOOKUP("Mins",A1:CV300,28,FALSE)=0,0,HLOOKUP("Pts",A1:CV300,28,FALSE)/HLOOKUP("Mins",A1:CV300,28,FALSE)* 90)</f>
      </c>
      <c r="AV28" s="6834">
        <f>IF(HLOOKUP("Apps",A1:CV300,28,FALSE)=0,0,HLOOKUP("Pts",A1:CV300,28,FALSE)/HLOOKUP("Apps",A1:CV300,28,FALSE)* 1)</f>
      </c>
      <c r="AW28" s="6835">
        <f>IF(HLOOKUP("Mins",A1:CV300,28,FALSE)=0,0,HLOOKUP("Gs",A1:CV300,28,FALSE)/HLOOKUP("Mins",A1:CV300,28,FALSE)* 90)</f>
      </c>
      <c r="AX28" s="6836">
        <f>IF(HLOOKUP("Mins",A1:CV300,28,FALSE)=0,0,HLOOKUP("Bonus",A1:CV300,28,FALSE)/HLOOKUP("Mins",A1:CV300,28,FALSE)* 90)</f>
      </c>
      <c r="AY28" s="6837">
        <f>IF(HLOOKUP("Mins",A1:CV300,28,FALSE)=0,0,HLOOKUP("BPS",A1:CV300,28,FALSE)/HLOOKUP("Mins",A1:CV300,28,FALSE)* 90)</f>
      </c>
      <c r="AZ28" s="6838">
        <f>IF(HLOOKUP("Mins",A1:CV300,28,FALSE)=0,0,HLOOKUP("Base BPS",A1:CV300,28,FALSE)/HLOOKUP("Mins",A1:CV300,28,FALSE)* 90)</f>
      </c>
      <c r="BA28" s="6839">
        <f>IF(HLOOKUP("Mins",A1:CV300,28,FALSE)=0,0,HLOOKUP("PenTchs",A1:CV300,28,FALSE)/HLOOKUP("Mins",A1:CV300,28,FALSE)* 90)</f>
      </c>
      <c r="BB28" s="6840">
        <f>IF(HLOOKUP("Mins",A1:CV300,28,FALSE)=0,0,HLOOKUP("Shots",A1:CV300,28,FALSE)/HLOOKUP("Mins",A1:CV300,28,FALSE)* 90)</f>
      </c>
      <c r="BC28" s="6841">
        <f>IF(HLOOKUP("Mins",A1:CV300,28,FALSE)=0,0,HLOOKUP("SIB",A1:CV300,28,FALSE)/HLOOKUP("Mins",A1:CV300,28,FALSE)* 90)</f>
      </c>
      <c r="BD28" s="6842">
        <f>IF(HLOOKUP("Mins",A1:CV300,28,FALSE)=0,0,HLOOKUP("S6YD",A1:CV300,28,FALSE)/HLOOKUP("Mins",A1:CV300,28,FALSE)* 90)</f>
      </c>
      <c r="BE28" s="6843">
        <f>IF(HLOOKUP("Mins",A1:CV300,28,FALSE)=0,0,HLOOKUP("Headers",A1:CV300,28,FALSE)/HLOOKUP("Mins",A1:CV300,28,FALSE)* 90)</f>
      </c>
      <c r="BF28" s="6844">
        <f>IF(HLOOKUP("Mins",A1:CV300,28,FALSE)=0,0,HLOOKUP("SOT",A1:CV300,28,FALSE)/HLOOKUP("Mins",A1:CV300,28,FALSE)* 90)</f>
      </c>
      <c r="BG28" s="6845">
        <f>IF(HLOOKUP("Mins",A1:CV300,28,FALSE)=0,0,HLOOKUP("As",A1:CV300,28,FALSE)/HLOOKUP("Mins",A1:CV300,28,FALSE)* 90)</f>
      </c>
      <c r="BH28" s="6846">
        <f>IF(HLOOKUP("Mins",A1:CV300,28,FALSE)=0,0,HLOOKUP("FPL As",A1:CV300,28,FALSE)/HLOOKUP("Mins",A1:CV300,28,FALSE)* 90)</f>
      </c>
      <c r="BI28" s="6847">
        <f>IF(HLOOKUP("Mins",A1:CV300,28,FALSE)=0,0,HLOOKUP("BC Created",A1:CV300,28,FALSE)/HLOOKUP("Mins",A1:CV300,28,FALSE)* 90)</f>
      </c>
      <c r="BJ28" s="6848">
        <f>IF(HLOOKUP("Mins",A1:CV300,28,FALSE)=0,0,HLOOKUP("KP",A1:CV300,28,FALSE)/HLOOKUP("Mins",A1:CV300,28,FALSE)* 90)</f>
      </c>
      <c r="BK28" s="6849">
        <f>IF(HLOOKUP("Mins",A1:CV300,28,FALSE)=0,0,HLOOKUP("BC",A1:CV300,28,FALSE)/HLOOKUP("Mins",A1:CV300,28,FALSE)* 90)</f>
      </c>
      <c r="BL28" s="6850">
        <f>IF(HLOOKUP("Mins",A1:CV300,28,FALSE)=0,0,HLOOKUP("BC Miss",A1:CV300,28,FALSE)/HLOOKUP("Mins",A1:CV300,28,FALSE)* 90)</f>
      </c>
      <c r="BM28" s="6851">
        <f>IF(HLOOKUP("Mins",A1:CV300,28,FALSE)=0,0,HLOOKUP("Gs - BC",A1:CV300,28,FALSE)/HLOOKUP("Mins",A1:CV300,28,FALSE)* 90)</f>
      </c>
      <c r="BN28" s="6852">
        <f>IF(HLOOKUP("Mins",A1:CV300,28,FALSE)=0,0,HLOOKUP("GIB",A1:CV300,28,FALSE)/HLOOKUP("Mins",A1:CV300,28,FALSE)* 90)</f>
      </c>
      <c r="BO28" s="6853">
        <f>IF(HLOOKUP("Mins",A1:CV300,28,FALSE)=0,0,HLOOKUP("Gs - Open",A1:CV300,28,FALSE)/HLOOKUP("Mins",A1:CV300,28,FALSE)* 90)</f>
      </c>
      <c r="BP28" s="6854">
        <f>IF(HLOOKUP("Mins",A1:CV300,28,FALSE)=0,0,HLOOKUP("ICT Index",A1:CV300,28,FALSE)/HLOOKUP("Mins",A1:CV300,28,FALSE)* 90)</f>
      </c>
      <c r="BQ28" s="6855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6856">
        <f>0.0825*HLOOKUP("KP/90",A1:CV300,28,FALSE)</f>
      </c>
      <c r="BS28" s="6857">
        <f>6*HLOOKUP("xG/90",A1:CV300,28,FALSE)+3*HLOOKUP("xA/90",A1:CV300,28,FALSE)</f>
      </c>
      <c r="BT28" s="6858">
        <f>HLOOKUP("xPts/90",A1:CV300,28,FALSE)-(6*0.75*(HLOOKUP("PK Gs",A1:CV300,28,FALSE)+HLOOKUP("PK Miss",A1:CV300,28,FALSE))*90/HLOOKUP("Mins",A1:CV300,28,FALSE))</f>
      </c>
      <c r="BU28" s="6859">
        <f>IF(HLOOKUP("Mins",A1:CV300,28,FALSE)=0,0,HLOOKUP("fsXG",A1:CV300,28,FALSE)/HLOOKUP("Mins",A1:CV300,28,FALSE)* 90)</f>
      </c>
      <c r="BV28" s="6860">
        <f>IF(HLOOKUP("Mins",A1:CV300,28,FALSE)=0,0,HLOOKUP("fsXA",A1:CV300,28,FALSE)/HLOOKUP("Mins",A1:CV300,28,FALSE)* 90)</f>
      </c>
      <c r="BW28" s="6861">
        <f>6*HLOOKUP("fsXG/90",A1:CV300,28,FALSE)+3*HLOOKUP("fsXA/90",A1:CV300,28,FALSE)</f>
      </c>
      <c r="BX28" t="n" s="6862">
        <v>0.005118663888424635</v>
      </c>
      <c r="BY28" t="n" s="6863">
        <v>0.03633758798241615</v>
      </c>
      <c r="BZ28" s="6864">
        <f>6*HLOOKUP("uXG/90",A1:CV300,28,FALSE)+3*HLOOKUP("uXA/90",A1:CV300,28,FALSE)</f>
      </c>
    </row>
    <row r="29">
      <c r="A29" t="s" s="6865">
        <v>185</v>
      </c>
      <c r="B29" t="s" s="6866">
        <v>107</v>
      </c>
      <c r="C29" t="n" s="6867">
        <v>5.5</v>
      </c>
      <c r="D29" t="n" s="6868">
        <v>155.0</v>
      </c>
      <c r="E29" t="n" s="6869">
        <v>2.0</v>
      </c>
      <c r="F29" t="n" s="6870">
        <v>55.0</v>
      </c>
      <c r="G29" t="n" s="6871">
        <v>0.0</v>
      </c>
      <c r="H29" t="n" s="6872">
        <v>3.0</v>
      </c>
      <c r="I29" t="n" s="6873">
        <v>273.0</v>
      </c>
      <c r="J29" s="6874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6875">
        <v>1.0</v>
      </c>
      <c r="L29" t="n" s="6876">
        <v>4.0</v>
      </c>
      <c r="M29" t="n" s="6877">
        <v>4.0</v>
      </c>
      <c r="N29" t="n" s="6878">
        <v>2.0</v>
      </c>
      <c r="O29" t="n" s="6879">
        <v>1.0</v>
      </c>
      <c r="P29" s="6880">
        <f>IF(HLOOKUP("Shots",A1:CV300,29,FALSE)=0,0,HLOOKUP("SIB",A1:CV300,29,FALSE)/HLOOKUP("Shots",A1:CV300,29,FALSE))</f>
      </c>
      <c r="Q29" t="n" s="6881">
        <v>0.0</v>
      </c>
      <c r="R29" s="6882">
        <f>IF(HLOOKUP("Shots",A1:CV300,29,FALSE)=0,0,HLOOKUP("S6YD",A1:CV300,29,FALSE)/HLOOKUP("Shots",A1:CV300,29,FALSE))</f>
      </c>
      <c r="S29" t="n" s="6883">
        <v>0.0</v>
      </c>
      <c r="T29" s="6884">
        <f>IF(HLOOKUP("Shots",A1:CV300,29,FALSE)=0,0,HLOOKUP("Headers",A1:CV300,29,FALSE)/HLOOKUP("Shots",A1:CV300,29,FALSE))</f>
      </c>
      <c r="U29" t="n" s="6885">
        <v>0.0</v>
      </c>
      <c r="V29" s="6886">
        <f>IF(HLOOKUP("Shots",A1:CV300,29,FALSE)=0,0,HLOOKUP("SOT",A1:CV300,29,FALSE)/HLOOKUP("Shots",A1:CV300,29,FALSE))</f>
      </c>
      <c r="W29" s="6887">
        <f>IF(HLOOKUP("Shots",A1:CV300,29,FALSE)=0,0,HLOOKUP("Gs",A1:CV300,29,FALSE)/HLOOKUP("Shots",A1:CV300,29,FALSE))</f>
      </c>
      <c r="X29" t="n" s="6888">
        <v>0.0</v>
      </c>
      <c r="Y29" t="n" s="6889">
        <v>0.0</v>
      </c>
      <c r="Z29" t="n" s="6890">
        <v>6.0</v>
      </c>
      <c r="AA29" s="6891">
        <f>IF(HLOOKUP("KP",A1:CV300,29,FALSE)=0,0,HLOOKUP("As",A1:CV300,29,FALSE)/HLOOKUP("KP",A1:CV300,29,FALSE))</f>
      </c>
      <c r="AB29" t="n" s="6892">
        <v>12.9</v>
      </c>
      <c r="AC29" t="n" s="6893">
        <v>0.0</v>
      </c>
      <c r="AD29" t="n" s="6894">
        <v>1.0</v>
      </c>
      <c r="AE29" t="n" s="6895">
        <v>0.0</v>
      </c>
      <c r="AF29" t="n" s="6896">
        <v>0.0</v>
      </c>
      <c r="AG29" s="6897">
        <f>IF(HLOOKUP("BC",A1:CV300,29,FALSE)=0,0,HLOOKUP("Gs - BC",A1:CV300,29,FALSE)/HLOOKUP("BC",A1:CV300,29,FALSE))</f>
      </c>
      <c r="AH29" s="6898">
        <f>HLOOKUP("BC",A1:CV300,29,FALSE) - HLOOKUP("BC Miss",A1:CV300,29,FALSE)</f>
      </c>
      <c r="AI29" s="6899">
        <f>IF(HLOOKUP("Gs",A1:CV300,29,FALSE)=0,0,HLOOKUP("Gs - BC",A1:CV300,29,FALSE)/HLOOKUP("Gs",A1:CV300,29,FALSE))</f>
      </c>
      <c r="AJ29" t="n" s="6900">
        <v>0.0</v>
      </c>
      <c r="AK29" t="n" s="6901">
        <v>0.0</v>
      </c>
      <c r="AL29" s="6902">
        <f>HLOOKUP("BC",A1:CV300,29,FALSE) - (HLOOKUP("PK Gs",A1:CV300,29,FALSE) + HLOOKUP("PK Miss",A1:CV300,29,FALSE))</f>
      </c>
      <c r="AM29" s="6903">
        <f>HLOOKUP("BC Miss",A1:CV300,29,FALSE) - HLOOKUP("PK Miss",A1:CV300,29,FALSE)</f>
      </c>
      <c r="AN29" s="6904">
        <f>IF(HLOOKUP("BC - Open",A1:CV300,29,FALSE)=0,0,HLOOKUP("BC - Open Miss",A1:CV300,29,FALSE)/HLOOKUP("BC - Open",A1:CV300,29,FALSE))</f>
      </c>
      <c r="AO29" t="n" s="6905">
        <v>0.0</v>
      </c>
      <c r="AP29" s="6906">
        <f>IF(HLOOKUP("Gs",A1:CV300,29,FALSE)=0,0,HLOOKUP("GIB",A1:CV300,29,FALSE)/HLOOKUP("Gs",A1:CV300,29,FALSE))</f>
      </c>
      <c r="AQ29" t="n" s="6907">
        <v>0.0</v>
      </c>
      <c r="AR29" s="6908">
        <f>IF(HLOOKUP("Gs",A1:CV300,29,FALSE)=0,0,HLOOKUP("Gs - Open",A1:CV300,29,FALSE)/HLOOKUP("Gs",A1:CV300,29,FALSE))</f>
      </c>
      <c r="AS29" t="n" s="6909">
        <v>0.14</v>
      </c>
      <c r="AT29" t="n" s="6910">
        <v>0.39</v>
      </c>
      <c r="AU29" s="6911">
        <f>IF(HLOOKUP("Mins",A1:CV300,29,FALSE)=0,0,HLOOKUP("Pts",A1:CV300,29,FALSE)/HLOOKUP("Mins",A1:CV300,29,FALSE)* 90)</f>
      </c>
      <c r="AV29" s="6912">
        <f>IF(HLOOKUP("Apps",A1:CV300,29,FALSE)=0,0,HLOOKUP("Pts",A1:CV300,29,FALSE)/HLOOKUP("Apps",A1:CV300,29,FALSE)* 1)</f>
      </c>
      <c r="AW29" s="6913">
        <f>IF(HLOOKUP("Mins",A1:CV300,29,FALSE)=0,0,HLOOKUP("Gs",A1:CV300,29,FALSE)/HLOOKUP("Mins",A1:CV300,29,FALSE)* 90)</f>
      </c>
      <c r="AX29" s="6914">
        <f>IF(HLOOKUP("Mins",A1:CV300,29,FALSE)=0,0,HLOOKUP("Bonus",A1:CV300,29,FALSE)/HLOOKUP("Mins",A1:CV300,29,FALSE)* 90)</f>
      </c>
      <c r="AY29" s="6915">
        <f>IF(HLOOKUP("Mins",A1:CV300,29,FALSE)=0,0,HLOOKUP("BPS",A1:CV300,29,FALSE)/HLOOKUP("Mins",A1:CV300,29,FALSE)* 90)</f>
      </c>
      <c r="AZ29" s="6916">
        <f>IF(HLOOKUP("Mins",A1:CV300,29,FALSE)=0,0,HLOOKUP("Base BPS",A1:CV300,29,FALSE)/HLOOKUP("Mins",A1:CV300,29,FALSE)* 90)</f>
      </c>
      <c r="BA29" s="6917">
        <f>IF(HLOOKUP("Mins",A1:CV300,29,FALSE)=0,0,HLOOKUP("PenTchs",A1:CV300,29,FALSE)/HLOOKUP("Mins",A1:CV300,29,FALSE)* 90)</f>
      </c>
      <c r="BB29" s="6918">
        <f>IF(HLOOKUP("Mins",A1:CV300,29,FALSE)=0,0,HLOOKUP("Shots",A1:CV300,29,FALSE)/HLOOKUP("Mins",A1:CV300,29,FALSE)* 90)</f>
      </c>
      <c r="BC29" s="6919">
        <f>IF(HLOOKUP("Mins",A1:CV300,29,FALSE)=0,0,HLOOKUP("SIB",A1:CV300,29,FALSE)/HLOOKUP("Mins",A1:CV300,29,FALSE)* 90)</f>
      </c>
      <c r="BD29" s="6920">
        <f>IF(HLOOKUP("Mins",A1:CV300,29,FALSE)=0,0,HLOOKUP("S6YD",A1:CV300,29,FALSE)/HLOOKUP("Mins",A1:CV300,29,FALSE)* 90)</f>
      </c>
      <c r="BE29" s="6921">
        <f>IF(HLOOKUP("Mins",A1:CV300,29,FALSE)=0,0,HLOOKUP("Headers",A1:CV300,29,FALSE)/HLOOKUP("Mins",A1:CV300,29,FALSE)* 90)</f>
      </c>
      <c r="BF29" s="6922">
        <f>IF(HLOOKUP("Mins",A1:CV300,29,FALSE)=0,0,HLOOKUP("SOT",A1:CV300,29,FALSE)/HLOOKUP("Mins",A1:CV300,29,FALSE)* 90)</f>
      </c>
      <c r="BG29" s="6923">
        <f>IF(HLOOKUP("Mins",A1:CV300,29,FALSE)=0,0,HLOOKUP("As",A1:CV300,29,FALSE)/HLOOKUP("Mins",A1:CV300,29,FALSE)* 90)</f>
      </c>
      <c r="BH29" s="6924">
        <f>IF(HLOOKUP("Mins",A1:CV300,29,FALSE)=0,0,HLOOKUP("FPL As",A1:CV300,29,FALSE)/HLOOKUP("Mins",A1:CV300,29,FALSE)* 90)</f>
      </c>
      <c r="BI29" s="6925">
        <f>IF(HLOOKUP("Mins",A1:CV300,29,FALSE)=0,0,HLOOKUP("BC Created",A1:CV300,29,FALSE)/HLOOKUP("Mins",A1:CV300,29,FALSE)* 90)</f>
      </c>
      <c r="BJ29" s="6926">
        <f>IF(HLOOKUP("Mins",A1:CV300,29,FALSE)=0,0,HLOOKUP("KP",A1:CV300,29,FALSE)/HLOOKUP("Mins",A1:CV300,29,FALSE)* 90)</f>
      </c>
      <c r="BK29" s="6927">
        <f>IF(HLOOKUP("Mins",A1:CV300,29,FALSE)=0,0,HLOOKUP("BC",A1:CV300,29,FALSE)/HLOOKUP("Mins",A1:CV300,29,FALSE)* 90)</f>
      </c>
      <c r="BL29" s="6928">
        <f>IF(HLOOKUP("Mins",A1:CV300,29,FALSE)=0,0,HLOOKUP("BC Miss",A1:CV300,29,FALSE)/HLOOKUP("Mins",A1:CV300,29,FALSE)* 90)</f>
      </c>
      <c r="BM29" s="6929">
        <f>IF(HLOOKUP("Mins",A1:CV300,29,FALSE)=0,0,HLOOKUP("Gs - BC",A1:CV300,29,FALSE)/HLOOKUP("Mins",A1:CV300,29,FALSE)* 90)</f>
      </c>
      <c r="BN29" s="6930">
        <f>IF(HLOOKUP("Mins",A1:CV300,29,FALSE)=0,0,HLOOKUP("GIB",A1:CV300,29,FALSE)/HLOOKUP("Mins",A1:CV300,29,FALSE)* 90)</f>
      </c>
      <c r="BO29" s="6931">
        <f>IF(HLOOKUP("Mins",A1:CV300,29,FALSE)=0,0,HLOOKUP("Gs - Open",A1:CV300,29,FALSE)/HLOOKUP("Mins",A1:CV300,29,FALSE)* 90)</f>
      </c>
      <c r="BP29" s="6932">
        <f>IF(HLOOKUP("Mins",A1:CV300,29,FALSE)=0,0,HLOOKUP("ICT Index",A1:CV300,29,FALSE)/HLOOKUP("Mins",A1:CV300,29,FALSE)* 90)</f>
      </c>
      <c r="BQ29" s="6933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6934">
        <f>0.0825*HLOOKUP("KP/90",A1:CV300,29,FALSE)</f>
      </c>
      <c r="BS29" s="6935">
        <f>6*HLOOKUP("xG/90",A1:CV300,29,FALSE)+3*HLOOKUP("xA/90",A1:CV300,29,FALSE)</f>
      </c>
      <c r="BT29" s="6936">
        <f>HLOOKUP("xPts/90",A1:CV300,29,FALSE)-(6*0.75*(HLOOKUP("PK Gs",A1:CV300,29,FALSE)+HLOOKUP("PK Miss",A1:CV300,29,FALSE))*90/HLOOKUP("Mins",A1:CV300,29,FALSE))</f>
      </c>
      <c r="BU29" s="6937">
        <f>IF(HLOOKUP("Mins",A1:CV300,29,FALSE)=0,0,HLOOKUP("fsXG",A1:CV300,29,FALSE)/HLOOKUP("Mins",A1:CV300,29,FALSE)* 90)</f>
      </c>
      <c r="BV29" s="6938">
        <f>IF(HLOOKUP("Mins",A1:CV300,29,FALSE)=0,0,HLOOKUP("fsXA",A1:CV300,29,FALSE)/HLOOKUP("Mins",A1:CV300,29,FALSE)* 90)</f>
      </c>
      <c r="BW29" s="6939">
        <f>6*HLOOKUP("fsXG/90",A1:CV300,29,FALSE)+3*HLOOKUP("fsXA/90",A1:CV300,29,FALSE)</f>
      </c>
      <c r="BX29" t="n" s="6940">
        <v>0.04750261455774307</v>
      </c>
      <c r="BY29" t="n" s="6941">
        <v>0.2600284814834595</v>
      </c>
      <c r="BZ29" s="6942">
        <f>6*HLOOKUP("uXG/90",A1:CV300,29,FALSE)+3*HLOOKUP("uXA/90",A1:CV300,29,FALSE)</f>
      </c>
    </row>
    <row r="30">
      <c r="A30" t="s" s="6943">
        <v>186</v>
      </c>
      <c r="B30" t="s" s="6944">
        <v>100</v>
      </c>
      <c r="C30" t="n" s="6945">
        <v>4.900000095367432</v>
      </c>
      <c r="D30" t="n" s="6946">
        <v>145.0</v>
      </c>
      <c r="E30" t="n" s="6947">
        <v>3.0</v>
      </c>
      <c r="F30" t="n" s="6948">
        <v>21.0</v>
      </c>
      <c r="G30" t="n" s="6949">
        <v>0.0</v>
      </c>
      <c r="H30" t="n" s="6950">
        <v>0.0</v>
      </c>
      <c r="I30" t="n" s="6951">
        <v>110.0</v>
      </c>
      <c r="J30" s="6952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6953">
        <v>0.0</v>
      </c>
      <c r="L30" t="n" s="6954">
        <v>2.0</v>
      </c>
      <c r="M30" t="n" s="6955">
        <v>1.0</v>
      </c>
      <c r="N30" t="n" s="6956">
        <v>0.0</v>
      </c>
      <c r="O30" t="n" s="6957">
        <v>0.0</v>
      </c>
      <c r="P30" s="6958">
        <f>IF(HLOOKUP("Shots",A1:CV300,30,FALSE)=0,0,HLOOKUP("SIB",A1:CV300,30,FALSE)/HLOOKUP("Shots",A1:CV300,30,FALSE))</f>
      </c>
      <c r="Q30" t="n" s="6959">
        <v>0.0</v>
      </c>
      <c r="R30" s="6960">
        <f>IF(HLOOKUP("Shots",A1:CV300,30,FALSE)=0,0,HLOOKUP("S6YD",A1:CV300,30,FALSE)/HLOOKUP("Shots",A1:CV300,30,FALSE))</f>
      </c>
      <c r="S30" t="n" s="6961">
        <v>0.0</v>
      </c>
      <c r="T30" s="6962">
        <f>IF(HLOOKUP("Shots",A1:CV300,30,FALSE)=0,0,HLOOKUP("Headers",A1:CV300,30,FALSE)/HLOOKUP("Shots",A1:CV300,30,FALSE))</f>
      </c>
      <c r="U30" t="n" s="6963">
        <v>0.0</v>
      </c>
      <c r="V30" s="6964">
        <f>IF(HLOOKUP("Shots",A1:CV300,30,FALSE)=0,0,HLOOKUP("SOT",A1:CV300,30,FALSE)/HLOOKUP("Shots",A1:CV300,30,FALSE))</f>
      </c>
      <c r="W30" s="6965">
        <f>IF(HLOOKUP("Shots",A1:CV300,30,FALSE)=0,0,HLOOKUP("Gs",A1:CV300,30,FALSE)/HLOOKUP("Shots",A1:CV300,30,FALSE))</f>
      </c>
      <c r="X30" t="n" s="6966">
        <v>0.0</v>
      </c>
      <c r="Y30" t="n" s="6967">
        <v>0.0</v>
      </c>
      <c r="Z30" t="n" s="6968">
        <v>0.0</v>
      </c>
      <c r="AA30" s="6969">
        <f>IF(HLOOKUP("KP",A1:CV300,30,FALSE)=0,0,HLOOKUP("As",A1:CV300,30,FALSE)/HLOOKUP("KP",A1:CV300,30,FALSE))</f>
      </c>
      <c r="AB30" t="n" s="6970">
        <v>2.3</v>
      </c>
      <c r="AC30" t="n" s="6971">
        <v>0.0</v>
      </c>
      <c r="AD30" t="n" s="6972">
        <v>0.0</v>
      </c>
      <c r="AE30" t="n" s="6973">
        <v>0.0</v>
      </c>
      <c r="AF30" t="n" s="6974">
        <v>0.0</v>
      </c>
      <c r="AG30" s="6975">
        <f>IF(HLOOKUP("BC",A1:CV300,30,FALSE)=0,0,HLOOKUP("Gs - BC",A1:CV300,30,FALSE)/HLOOKUP("BC",A1:CV300,30,FALSE))</f>
      </c>
      <c r="AH30" s="6976">
        <f>HLOOKUP("BC",A1:CV300,30,FALSE) - HLOOKUP("BC Miss",A1:CV300,30,FALSE)</f>
      </c>
      <c r="AI30" s="6977">
        <f>IF(HLOOKUP("Gs",A1:CV300,30,FALSE)=0,0,HLOOKUP("Gs - BC",A1:CV300,30,FALSE)/HLOOKUP("Gs",A1:CV300,30,FALSE))</f>
      </c>
      <c r="AJ30" t="n" s="6978">
        <v>0.0</v>
      </c>
      <c r="AK30" t="n" s="6979">
        <v>0.0</v>
      </c>
      <c r="AL30" s="6980">
        <f>HLOOKUP("BC",A1:CV300,30,FALSE) - (HLOOKUP("PK Gs",A1:CV300,30,FALSE) + HLOOKUP("PK Miss",A1:CV300,30,FALSE))</f>
      </c>
      <c r="AM30" s="6981">
        <f>HLOOKUP("BC Miss",A1:CV300,30,FALSE) - HLOOKUP("PK Miss",A1:CV300,30,FALSE)</f>
      </c>
      <c r="AN30" s="6982">
        <f>IF(HLOOKUP("BC - Open",A1:CV300,30,FALSE)=0,0,HLOOKUP("BC - Open Miss",A1:CV300,30,FALSE)/HLOOKUP("BC - Open",A1:CV300,30,FALSE))</f>
      </c>
      <c r="AO30" t="n" s="6983">
        <v>0.0</v>
      </c>
      <c r="AP30" s="6984">
        <f>IF(HLOOKUP("Gs",A1:CV300,30,FALSE)=0,0,HLOOKUP("GIB",A1:CV300,30,FALSE)/HLOOKUP("Gs",A1:CV300,30,FALSE))</f>
      </c>
      <c r="AQ30" t="n" s="6985">
        <v>0.0</v>
      </c>
      <c r="AR30" s="6986">
        <f>IF(HLOOKUP("Gs",A1:CV300,30,FALSE)=0,0,HLOOKUP("Gs - Open",A1:CV300,30,FALSE)/HLOOKUP("Gs",A1:CV300,30,FALSE))</f>
      </c>
      <c r="AS30" t="n" s="6987">
        <v>0.0</v>
      </c>
      <c r="AT30" t="n" s="6988">
        <v>0.0</v>
      </c>
      <c r="AU30" s="6989">
        <f>IF(HLOOKUP("Mins",A1:CV300,30,FALSE)=0,0,HLOOKUP("Pts",A1:CV300,30,FALSE)/HLOOKUP("Mins",A1:CV300,30,FALSE)* 90)</f>
      </c>
      <c r="AV30" s="6990">
        <f>IF(HLOOKUP("Apps",A1:CV300,30,FALSE)=0,0,HLOOKUP("Pts",A1:CV300,30,FALSE)/HLOOKUP("Apps",A1:CV300,30,FALSE)* 1)</f>
      </c>
      <c r="AW30" s="6991">
        <f>IF(HLOOKUP("Mins",A1:CV300,30,FALSE)=0,0,HLOOKUP("Gs",A1:CV300,30,FALSE)/HLOOKUP("Mins",A1:CV300,30,FALSE)* 90)</f>
      </c>
      <c r="AX30" s="6992">
        <f>IF(HLOOKUP("Mins",A1:CV300,30,FALSE)=0,0,HLOOKUP("Bonus",A1:CV300,30,FALSE)/HLOOKUP("Mins",A1:CV300,30,FALSE)* 90)</f>
      </c>
      <c r="AY30" s="6993">
        <f>IF(HLOOKUP("Mins",A1:CV300,30,FALSE)=0,0,HLOOKUP("BPS",A1:CV300,30,FALSE)/HLOOKUP("Mins",A1:CV300,30,FALSE)* 90)</f>
      </c>
      <c r="AZ30" s="6994">
        <f>IF(HLOOKUP("Mins",A1:CV300,30,FALSE)=0,0,HLOOKUP("Base BPS",A1:CV300,30,FALSE)/HLOOKUP("Mins",A1:CV300,30,FALSE)* 90)</f>
      </c>
      <c r="BA30" s="6995">
        <f>IF(HLOOKUP("Mins",A1:CV300,30,FALSE)=0,0,HLOOKUP("PenTchs",A1:CV300,30,FALSE)/HLOOKUP("Mins",A1:CV300,30,FALSE)* 90)</f>
      </c>
      <c r="BB30" s="6996">
        <f>IF(HLOOKUP("Mins",A1:CV300,30,FALSE)=0,0,HLOOKUP("Shots",A1:CV300,30,FALSE)/HLOOKUP("Mins",A1:CV300,30,FALSE)* 90)</f>
      </c>
      <c r="BC30" s="6997">
        <f>IF(HLOOKUP("Mins",A1:CV300,30,FALSE)=0,0,HLOOKUP("SIB",A1:CV300,30,FALSE)/HLOOKUP("Mins",A1:CV300,30,FALSE)* 90)</f>
      </c>
      <c r="BD30" s="6998">
        <f>IF(HLOOKUP("Mins",A1:CV300,30,FALSE)=0,0,HLOOKUP("S6YD",A1:CV300,30,FALSE)/HLOOKUP("Mins",A1:CV300,30,FALSE)* 90)</f>
      </c>
      <c r="BE30" s="6999">
        <f>IF(HLOOKUP("Mins",A1:CV300,30,FALSE)=0,0,HLOOKUP("Headers",A1:CV300,30,FALSE)/HLOOKUP("Mins",A1:CV300,30,FALSE)* 90)</f>
      </c>
      <c r="BF30" s="7000">
        <f>IF(HLOOKUP("Mins",A1:CV300,30,FALSE)=0,0,HLOOKUP("SOT",A1:CV300,30,FALSE)/HLOOKUP("Mins",A1:CV300,30,FALSE)* 90)</f>
      </c>
      <c r="BG30" s="7001">
        <f>IF(HLOOKUP("Mins",A1:CV300,30,FALSE)=0,0,HLOOKUP("As",A1:CV300,30,FALSE)/HLOOKUP("Mins",A1:CV300,30,FALSE)* 90)</f>
      </c>
      <c r="BH30" s="7002">
        <f>IF(HLOOKUP("Mins",A1:CV300,30,FALSE)=0,0,HLOOKUP("FPL As",A1:CV300,30,FALSE)/HLOOKUP("Mins",A1:CV300,30,FALSE)* 90)</f>
      </c>
      <c r="BI30" s="7003">
        <f>IF(HLOOKUP("Mins",A1:CV300,30,FALSE)=0,0,HLOOKUP("BC Created",A1:CV300,30,FALSE)/HLOOKUP("Mins",A1:CV300,30,FALSE)* 90)</f>
      </c>
      <c r="BJ30" s="7004">
        <f>IF(HLOOKUP("Mins",A1:CV300,30,FALSE)=0,0,HLOOKUP("KP",A1:CV300,30,FALSE)/HLOOKUP("Mins",A1:CV300,30,FALSE)* 90)</f>
      </c>
      <c r="BK30" s="7005">
        <f>IF(HLOOKUP("Mins",A1:CV300,30,FALSE)=0,0,HLOOKUP("BC",A1:CV300,30,FALSE)/HLOOKUP("Mins",A1:CV300,30,FALSE)* 90)</f>
      </c>
      <c r="BL30" s="7006">
        <f>IF(HLOOKUP("Mins",A1:CV300,30,FALSE)=0,0,HLOOKUP("BC Miss",A1:CV300,30,FALSE)/HLOOKUP("Mins",A1:CV300,30,FALSE)* 90)</f>
      </c>
      <c r="BM30" s="7007">
        <f>IF(HLOOKUP("Mins",A1:CV300,30,FALSE)=0,0,HLOOKUP("Gs - BC",A1:CV300,30,FALSE)/HLOOKUP("Mins",A1:CV300,30,FALSE)* 90)</f>
      </c>
      <c r="BN30" s="7008">
        <f>IF(HLOOKUP("Mins",A1:CV300,30,FALSE)=0,0,HLOOKUP("GIB",A1:CV300,30,FALSE)/HLOOKUP("Mins",A1:CV300,30,FALSE)* 90)</f>
      </c>
      <c r="BO30" s="7009">
        <f>IF(HLOOKUP("Mins",A1:CV300,30,FALSE)=0,0,HLOOKUP("Gs - Open",A1:CV300,30,FALSE)/HLOOKUP("Mins",A1:CV300,30,FALSE)* 90)</f>
      </c>
      <c r="BP30" s="7010">
        <f>IF(HLOOKUP("Mins",A1:CV300,30,FALSE)=0,0,HLOOKUP("ICT Index",A1:CV300,30,FALSE)/HLOOKUP("Mins",A1:CV300,30,FALSE)* 90)</f>
      </c>
      <c r="BQ30" s="7011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7012">
        <f>0.0825*HLOOKUP("KP/90",A1:CV300,30,FALSE)</f>
      </c>
      <c r="BS30" s="7013">
        <f>6*HLOOKUP("xG/90",A1:CV300,30,FALSE)+3*HLOOKUP("xA/90",A1:CV300,30,FALSE)</f>
      </c>
      <c r="BT30" s="7014">
        <f>HLOOKUP("xPts/90",A1:CV300,30,FALSE)-(6*0.75*(HLOOKUP("PK Gs",A1:CV300,30,FALSE)+HLOOKUP("PK Miss",A1:CV300,30,FALSE))*90/HLOOKUP("Mins",A1:CV300,30,FALSE))</f>
      </c>
      <c r="BU30" s="7015">
        <f>IF(HLOOKUP("Mins",A1:CV300,30,FALSE)=0,0,HLOOKUP("fsXG",A1:CV300,30,FALSE)/HLOOKUP("Mins",A1:CV300,30,FALSE)* 90)</f>
      </c>
      <c r="BV30" s="7016">
        <f>IF(HLOOKUP("Mins",A1:CV300,30,FALSE)=0,0,HLOOKUP("fsXA",A1:CV300,30,FALSE)/HLOOKUP("Mins",A1:CV300,30,FALSE)* 90)</f>
      </c>
      <c r="BW30" s="7017">
        <f>6*HLOOKUP("fsXG/90",A1:CV300,30,FALSE)+3*HLOOKUP("fsXA/90",A1:CV300,30,FALSE)</f>
      </c>
      <c r="BX30" t="n" s="7018">
        <v>0.0</v>
      </c>
      <c r="BY30" t="n" s="7019">
        <v>0.0</v>
      </c>
      <c r="BZ30" s="7020">
        <f>6*HLOOKUP("uXG/90",A1:CV300,30,FALSE)+3*HLOOKUP("uXA/90",A1:CV300,30,FALSE)</f>
      </c>
    </row>
    <row r="31">
      <c r="A31" t="s" s="7021">
        <v>187</v>
      </c>
      <c r="B31" t="s" s="7022">
        <v>87</v>
      </c>
      <c r="C31" t="n" s="7023">
        <v>4.300000190734863</v>
      </c>
      <c r="D31" t="n" s="7024">
        <v>360.0</v>
      </c>
      <c r="E31" t="n" s="7025">
        <v>4.0</v>
      </c>
      <c r="F31" t="n" s="7026">
        <v>21.0</v>
      </c>
      <c r="G31" t="n" s="7027">
        <v>0.0</v>
      </c>
      <c r="H31" t="n" s="7028">
        <v>0.0</v>
      </c>
      <c r="I31" t="n" s="7029">
        <v>150.0</v>
      </c>
      <c r="J31" s="7030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7031">
        <v>0.0</v>
      </c>
      <c r="L31" t="n" s="7032">
        <v>2.0</v>
      </c>
      <c r="M31" t="n" s="7033">
        <v>5.0</v>
      </c>
      <c r="N31" t="n" s="7034">
        <v>3.0</v>
      </c>
      <c r="O31" t="n" s="7035">
        <v>3.0</v>
      </c>
      <c r="P31" s="7036">
        <f>IF(HLOOKUP("Shots",A1:CV300,31,FALSE)=0,0,HLOOKUP("SIB",A1:CV300,31,FALSE)/HLOOKUP("Shots",A1:CV300,31,FALSE))</f>
      </c>
      <c r="Q31" t="n" s="7037">
        <v>0.0</v>
      </c>
      <c r="R31" s="7038">
        <f>IF(HLOOKUP("Shots",A1:CV300,31,FALSE)=0,0,HLOOKUP("S6YD",A1:CV300,31,FALSE)/HLOOKUP("Shots",A1:CV300,31,FALSE))</f>
      </c>
      <c r="S31" t="n" s="7039">
        <v>2.0</v>
      </c>
      <c r="T31" s="7040">
        <f>IF(HLOOKUP("Shots",A1:CV300,31,FALSE)=0,0,HLOOKUP("Headers",A1:CV300,31,FALSE)/HLOOKUP("Shots",A1:CV300,31,FALSE))</f>
      </c>
      <c r="U31" t="n" s="7041">
        <v>0.0</v>
      </c>
      <c r="V31" s="7042">
        <f>IF(HLOOKUP("Shots",A1:CV300,31,FALSE)=0,0,HLOOKUP("SOT",A1:CV300,31,FALSE)/HLOOKUP("Shots",A1:CV300,31,FALSE))</f>
      </c>
      <c r="W31" s="7043">
        <f>IF(HLOOKUP("Shots",A1:CV300,31,FALSE)=0,0,HLOOKUP("Gs",A1:CV300,31,FALSE)/HLOOKUP("Shots",A1:CV300,31,FALSE))</f>
      </c>
      <c r="X31" t="n" s="7044">
        <v>0.0</v>
      </c>
      <c r="Y31" t="n" s="7045">
        <v>1.0</v>
      </c>
      <c r="Z31" t="n" s="7046">
        <v>2.0</v>
      </c>
      <c r="AA31" s="7047">
        <f>IF(HLOOKUP("KP",A1:CV300,31,FALSE)=0,0,HLOOKUP("As",A1:CV300,31,FALSE)/HLOOKUP("KP",A1:CV300,31,FALSE))</f>
      </c>
      <c r="AB31" t="n" s="7048">
        <v>11.6</v>
      </c>
      <c r="AC31" t="n" s="7049">
        <v>0.0</v>
      </c>
      <c r="AD31" t="n" s="7050">
        <v>1.0</v>
      </c>
      <c r="AE31" t="n" s="7051">
        <v>0.0</v>
      </c>
      <c r="AF31" t="n" s="7052">
        <v>0.0</v>
      </c>
      <c r="AG31" s="7053">
        <f>IF(HLOOKUP("BC",A1:CV300,31,FALSE)=0,0,HLOOKUP("Gs - BC",A1:CV300,31,FALSE)/HLOOKUP("BC",A1:CV300,31,FALSE))</f>
      </c>
      <c r="AH31" s="7054">
        <f>HLOOKUP("BC",A1:CV300,31,FALSE) - HLOOKUP("BC Miss",A1:CV300,31,FALSE)</f>
      </c>
      <c r="AI31" s="7055">
        <f>IF(HLOOKUP("Gs",A1:CV300,31,FALSE)=0,0,HLOOKUP("Gs - BC",A1:CV300,31,FALSE)/HLOOKUP("Gs",A1:CV300,31,FALSE))</f>
      </c>
      <c r="AJ31" t="n" s="7056">
        <v>0.0</v>
      </c>
      <c r="AK31" t="n" s="7057">
        <v>0.0</v>
      </c>
      <c r="AL31" s="7058">
        <f>HLOOKUP("BC",A1:CV300,31,FALSE) - (HLOOKUP("PK Gs",A1:CV300,31,FALSE) + HLOOKUP("PK Miss",A1:CV300,31,FALSE))</f>
      </c>
      <c r="AM31" s="7059">
        <f>HLOOKUP("BC Miss",A1:CV300,31,FALSE) - HLOOKUP("PK Miss",A1:CV300,31,FALSE)</f>
      </c>
      <c r="AN31" s="7060">
        <f>IF(HLOOKUP("BC - Open",A1:CV300,31,FALSE)=0,0,HLOOKUP("BC - Open Miss",A1:CV300,31,FALSE)/HLOOKUP("BC - Open",A1:CV300,31,FALSE))</f>
      </c>
      <c r="AO31" t="n" s="7061">
        <v>0.0</v>
      </c>
      <c r="AP31" s="7062">
        <f>IF(HLOOKUP("Gs",A1:CV300,31,FALSE)=0,0,HLOOKUP("GIB",A1:CV300,31,FALSE)/HLOOKUP("Gs",A1:CV300,31,FALSE))</f>
      </c>
      <c r="AQ31" t="n" s="7063">
        <v>0.0</v>
      </c>
      <c r="AR31" s="7064">
        <f>IF(HLOOKUP("Gs",A1:CV300,31,FALSE)=0,0,HLOOKUP("Gs - Open",A1:CV300,31,FALSE)/HLOOKUP("Gs",A1:CV300,31,FALSE))</f>
      </c>
      <c r="AS31" t="n" s="7065">
        <v>0.14</v>
      </c>
      <c r="AT31" t="n" s="7066">
        <v>0.02</v>
      </c>
      <c r="AU31" s="7067">
        <f>IF(HLOOKUP("Mins",A1:CV300,31,FALSE)=0,0,HLOOKUP("Pts",A1:CV300,31,FALSE)/HLOOKUP("Mins",A1:CV300,31,FALSE)* 90)</f>
      </c>
      <c r="AV31" s="7068">
        <f>IF(HLOOKUP("Apps",A1:CV300,31,FALSE)=0,0,HLOOKUP("Pts",A1:CV300,31,FALSE)/HLOOKUP("Apps",A1:CV300,31,FALSE)* 1)</f>
      </c>
      <c r="AW31" s="7069">
        <f>IF(HLOOKUP("Mins",A1:CV300,31,FALSE)=0,0,HLOOKUP("Gs",A1:CV300,31,FALSE)/HLOOKUP("Mins",A1:CV300,31,FALSE)* 90)</f>
      </c>
      <c r="AX31" s="7070">
        <f>IF(HLOOKUP("Mins",A1:CV300,31,FALSE)=0,0,HLOOKUP("Bonus",A1:CV300,31,FALSE)/HLOOKUP("Mins",A1:CV300,31,FALSE)* 90)</f>
      </c>
      <c r="AY31" s="7071">
        <f>IF(HLOOKUP("Mins",A1:CV300,31,FALSE)=0,0,HLOOKUP("BPS",A1:CV300,31,FALSE)/HLOOKUP("Mins",A1:CV300,31,FALSE)* 90)</f>
      </c>
      <c r="AZ31" s="7072">
        <f>IF(HLOOKUP("Mins",A1:CV300,31,FALSE)=0,0,HLOOKUP("Base BPS",A1:CV300,31,FALSE)/HLOOKUP("Mins",A1:CV300,31,FALSE)* 90)</f>
      </c>
      <c r="BA31" s="7073">
        <f>IF(HLOOKUP("Mins",A1:CV300,31,FALSE)=0,0,HLOOKUP("PenTchs",A1:CV300,31,FALSE)/HLOOKUP("Mins",A1:CV300,31,FALSE)* 90)</f>
      </c>
      <c r="BB31" s="7074">
        <f>IF(HLOOKUP("Mins",A1:CV300,31,FALSE)=0,0,HLOOKUP("Shots",A1:CV300,31,FALSE)/HLOOKUP("Mins",A1:CV300,31,FALSE)* 90)</f>
      </c>
      <c r="BC31" s="7075">
        <f>IF(HLOOKUP("Mins",A1:CV300,31,FALSE)=0,0,HLOOKUP("SIB",A1:CV300,31,FALSE)/HLOOKUP("Mins",A1:CV300,31,FALSE)* 90)</f>
      </c>
      <c r="BD31" s="7076">
        <f>IF(HLOOKUP("Mins",A1:CV300,31,FALSE)=0,0,HLOOKUP("S6YD",A1:CV300,31,FALSE)/HLOOKUP("Mins",A1:CV300,31,FALSE)* 90)</f>
      </c>
      <c r="BE31" s="7077">
        <f>IF(HLOOKUP("Mins",A1:CV300,31,FALSE)=0,0,HLOOKUP("Headers",A1:CV300,31,FALSE)/HLOOKUP("Mins",A1:CV300,31,FALSE)* 90)</f>
      </c>
      <c r="BF31" s="7078">
        <f>IF(HLOOKUP("Mins",A1:CV300,31,FALSE)=0,0,HLOOKUP("SOT",A1:CV300,31,FALSE)/HLOOKUP("Mins",A1:CV300,31,FALSE)* 90)</f>
      </c>
      <c r="BG31" s="7079">
        <f>IF(HLOOKUP("Mins",A1:CV300,31,FALSE)=0,0,HLOOKUP("As",A1:CV300,31,FALSE)/HLOOKUP("Mins",A1:CV300,31,FALSE)* 90)</f>
      </c>
      <c r="BH31" s="7080">
        <f>IF(HLOOKUP("Mins",A1:CV300,31,FALSE)=0,0,HLOOKUP("FPL As",A1:CV300,31,FALSE)/HLOOKUP("Mins",A1:CV300,31,FALSE)* 90)</f>
      </c>
      <c r="BI31" s="7081">
        <f>IF(HLOOKUP("Mins",A1:CV300,31,FALSE)=0,0,HLOOKUP("BC Created",A1:CV300,31,FALSE)/HLOOKUP("Mins",A1:CV300,31,FALSE)* 90)</f>
      </c>
      <c r="BJ31" s="7082">
        <f>IF(HLOOKUP("Mins",A1:CV300,31,FALSE)=0,0,HLOOKUP("KP",A1:CV300,31,FALSE)/HLOOKUP("Mins",A1:CV300,31,FALSE)* 90)</f>
      </c>
      <c r="BK31" s="7083">
        <f>IF(HLOOKUP("Mins",A1:CV300,31,FALSE)=0,0,HLOOKUP("BC",A1:CV300,31,FALSE)/HLOOKUP("Mins",A1:CV300,31,FALSE)* 90)</f>
      </c>
      <c r="BL31" s="7084">
        <f>IF(HLOOKUP("Mins",A1:CV300,31,FALSE)=0,0,HLOOKUP("BC Miss",A1:CV300,31,FALSE)/HLOOKUP("Mins",A1:CV300,31,FALSE)* 90)</f>
      </c>
      <c r="BM31" s="7085">
        <f>IF(HLOOKUP("Mins",A1:CV300,31,FALSE)=0,0,HLOOKUP("Gs - BC",A1:CV300,31,FALSE)/HLOOKUP("Mins",A1:CV300,31,FALSE)* 90)</f>
      </c>
      <c r="BN31" s="7086">
        <f>IF(HLOOKUP("Mins",A1:CV300,31,FALSE)=0,0,HLOOKUP("GIB",A1:CV300,31,FALSE)/HLOOKUP("Mins",A1:CV300,31,FALSE)* 90)</f>
      </c>
      <c r="BO31" s="7087">
        <f>IF(HLOOKUP("Mins",A1:CV300,31,FALSE)=0,0,HLOOKUP("Gs - Open",A1:CV300,31,FALSE)/HLOOKUP("Mins",A1:CV300,31,FALSE)* 90)</f>
      </c>
      <c r="BP31" s="7088">
        <f>IF(HLOOKUP("Mins",A1:CV300,31,FALSE)=0,0,HLOOKUP("ICT Index",A1:CV300,31,FALSE)/HLOOKUP("Mins",A1:CV300,31,FALSE)* 90)</f>
      </c>
      <c r="BQ31" s="7089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7090">
        <f>0.0825*HLOOKUP("KP/90",A1:CV300,31,FALSE)</f>
      </c>
      <c r="BS31" s="7091">
        <f>6*HLOOKUP("xG/90",A1:CV300,31,FALSE)+3*HLOOKUP("xA/90",A1:CV300,31,FALSE)</f>
      </c>
      <c r="BT31" s="7092">
        <f>HLOOKUP("xPts/90",A1:CV300,31,FALSE)-(6*0.75*(HLOOKUP("PK Gs",A1:CV300,31,FALSE)+HLOOKUP("PK Miss",A1:CV300,31,FALSE))*90/HLOOKUP("Mins",A1:CV300,31,FALSE))</f>
      </c>
      <c r="BU31" s="7093">
        <f>IF(HLOOKUP("Mins",A1:CV300,31,FALSE)=0,0,HLOOKUP("fsXG",A1:CV300,31,FALSE)/HLOOKUP("Mins",A1:CV300,31,FALSE)* 90)</f>
      </c>
      <c r="BV31" s="7094">
        <f>IF(HLOOKUP("Mins",A1:CV300,31,FALSE)=0,0,HLOOKUP("fsXA",A1:CV300,31,FALSE)/HLOOKUP("Mins",A1:CV300,31,FALSE)* 90)</f>
      </c>
      <c r="BW31" s="7095">
        <f>6*HLOOKUP("fsXG/90",A1:CV300,31,FALSE)+3*HLOOKUP("fsXA/90",A1:CV300,31,FALSE)</f>
      </c>
      <c r="BX31" t="n" s="7096">
        <v>0.025093814358115196</v>
      </c>
      <c r="BY31" t="n" s="7097">
        <v>0.07033189386129379</v>
      </c>
      <c r="BZ31" s="7098">
        <f>6*HLOOKUP("uXG/90",A1:CV300,31,FALSE)+3*HLOOKUP("uXA/90",A1:CV300,31,FALSE)</f>
      </c>
    </row>
    <row r="32">
      <c r="A32" t="s" s="7099">
        <v>188</v>
      </c>
      <c r="B32" t="s" s="7100">
        <v>102</v>
      </c>
      <c r="C32" t="n" s="7101">
        <v>4.599999904632568</v>
      </c>
      <c r="D32" t="n" s="7102">
        <v>381.0</v>
      </c>
      <c r="E32" t="n" s="7103">
        <v>5.0</v>
      </c>
      <c r="F32" t="n" s="7104">
        <v>63.0</v>
      </c>
      <c r="G32" t="n" s="7105">
        <v>0.0</v>
      </c>
      <c r="H32" t="n" s="7106">
        <v>6.0</v>
      </c>
      <c r="I32" t="n" s="7107">
        <v>280.0</v>
      </c>
      <c r="J32" s="7108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7109">
        <v>0.0</v>
      </c>
      <c r="L32" t="n" s="7110">
        <v>3.0</v>
      </c>
      <c r="M32" t="n" s="7111">
        <v>6.0</v>
      </c>
      <c r="N32" t="n" s="7112">
        <v>2.0</v>
      </c>
      <c r="O32" t="n" s="7113">
        <v>1.0</v>
      </c>
      <c r="P32" s="7114">
        <f>IF(HLOOKUP("Shots",A1:CV300,32,FALSE)=0,0,HLOOKUP("SIB",A1:CV300,32,FALSE)/HLOOKUP("Shots",A1:CV300,32,FALSE))</f>
      </c>
      <c r="Q32" t="n" s="7115">
        <v>0.0</v>
      </c>
      <c r="R32" s="7116">
        <f>IF(HLOOKUP("Shots",A1:CV300,32,FALSE)=0,0,HLOOKUP("S6YD",A1:CV300,32,FALSE)/HLOOKUP("Shots",A1:CV300,32,FALSE))</f>
      </c>
      <c r="S32" t="n" s="7117">
        <v>0.0</v>
      </c>
      <c r="T32" s="7118">
        <f>IF(HLOOKUP("Shots",A1:CV300,32,FALSE)=0,0,HLOOKUP("Headers",A1:CV300,32,FALSE)/HLOOKUP("Shots",A1:CV300,32,FALSE))</f>
      </c>
      <c r="U32" t="n" s="7119">
        <v>0.0</v>
      </c>
      <c r="V32" s="7120">
        <f>IF(HLOOKUP("Shots",A1:CV300,32,FALSE)=0,0,HLOOKUP("SOT",A1:CV300,32,FALSE)/HLOOKUP("Shots",A1:CV300,32,FALSE))</f>
      </c>
      <c r="W32" s="7121">
        <f>IF(HLOOKUP("Shots",A1:CV300,32,FALSE)=0,0,HLOOKUP("Gs",A1:CV300,32,FALSE)/HLOOKUP("Shots",A1:CV300,32,FALSE))</f>
      </c>
      <c r="X32" t="n" s="7122">
        <v>0.0</v>
      </c>
      <c r="Y32" t="n" s="7123">
        <v>2.0</v>
      </c>
      <c r="Z32" t="n" s="7124">
        <v>5.0</v>
      </c>
      <c r="AA32" s="7125">
        <f>IF(HLOOKUP("KP",A1:CV300,32,FALSE)=0,0,HLOOKUP("As",A1:CV300,32,FALSE)/HLOOKUP("KP",A1:CV300,32,FALSE))</f>
      </c>
      <c r="AB32" t="n" s="7126">
        <v>15.6</v>
      </c>
      <c r="AC32" t="n" s="7127">
        <v>0.0</v>
      </c>
      <c r="AD32" t="n" s="7128">
        <v>0.0</v>
      </c>
      <c r="AE32" t="n" s="7129">
        <v>0.0</v>
      </c>
      <c r="AF32" t="n" s="7130">
        <v>0.0</v>
      </c>
      <c r="AG32" s="7131">
        <f>IF(HLOOKUP("BC",A1:CV300,32,FALSE)=0,0,HLOOKUP("Gs - BC",A1:CV300,32,FALSE)/HLOOKUP("BC",A1:CV300,32,FALSE))</f>
      </c>
      <c r="AH32" s="7132">
        <f>HLOOKUP("BC",A1:CV300,32,FALSE) - HLOOKUP("BC Miss",A1:CV300,32,FALSE)</f>
      </c>
      <c r="AI32" s="7133">
        <f>IF(HLOOKUP("Gs",A1:CV300,32,FALSE)=0,0,HLOOKUP("Gs - BC",A1:CV300,32,FALSE)/HLOOKUP("Gs",A1:CV300,32,FALSE))</f>
      </c>
      <c r="AJ32" t="n" s="7134">
        <v>0.0</v>
      </c>
      <c r="AK32" t="n" s="7135">
        <v>0.0</v>
      </c>
      <c r="AL32" s="7136">
        <f>HLOOKUP("BC",A1:CV300,32,FALSE) - (HLOOKUP("PK Gs",A1:CV300,32,FALSE) + HLOOKUP("PK Miss",A1:CV300,32,FALSE))</f>
      </c>
      <c r="AM32" s="7137">
        <f>HLOOKUP("BC Miss",A1:CV300,32,FALSE) - HLOOKUP("PK Miss",A1:CV300,32,FALSE)</f>
      </c>
      <c r="AN32" s="7138">
        <f>IF(HLOOKUP("BC - Open",A1:CV300,32,FALSE)=0,0,HLOOKUP("BC - Open Miss",A1:CV300,32,FALSE)/HLOOKUP("BC - Open",A1:CV300,32,FALSE))</f>
      </c>
      <c r="AO32" t="n" s="7139">
        <v>0.0</v>
      </c>
      <c r="AP32" s="7140">
        <f>IF(HLOOKUP("Gs",A1:CV300,32,FALSE)=0,0,HLOOKUP("GIB",A1:CV300,32,FALSE)/HLOOKUP("Gs",A1:CV300,32,FALSE))</f>
      </c>
      <c r="AQ32" t="n" s="7141">
        <v>0.0</v>
      </c>
      <c r="AR32" s="7142">
        <f>IF(HLOOKUP("Gs",A1:CV300,32,FALSE)=0,0,HLOOKUP("Gs - Open",A1:CV300,32,FALSE)/HLOOKUP("Gs",A1:CV300,32,FALSE))</f>
      </c>
      <c r="AS32" t="n" s="7143">
        <v>0.09</v>
      </c>
      <c r="AT32" t="n" s="7144">
        <v>0.36</v>
      </c>
      <c r="AU32" s="7145">
        <f>IF(HLOOKUP("Mins",A1:CV300,32,FALSE)=0,0,HLOOKUP("Pts",A1:CV300,32,FALSE)/HLOOKUP("Mins",A1:CV300,32,FALSE)* 90)</f>
      </c>
      <c r="AV32" s="7146">
        <f>IF(HLOOKUP("Apps",A1:CV300,32,FALSE)=0,0,HLOOKUP("Pts",A1:CV300,32,FALSE)/HLOOKUP("Apps",A1:CV300,32,FALSE)* 1)</f>
      </c>
      <c r="AW32" s="7147">
        <f>IF(HLOOKUP("Mins",A1:CV300,32,FALSE)=0,0,HLOOKUP("Gs",A1:CV300,32,FALSE)/HLOOKUP("Mins",A1:CV300,32,FALSE)* 90)</f>
      </c>
      <c r="AX32" s="7148">
        <f>IF(HLOOKUP("Mins",A1:CV300,32,FALSE)=0,0,HLOOKUP("Bonus",A1:CV300,32,FALSE)/HLOOKUP("Mins",A1:CV300,32,FALSE)* 90)</f>
      </c>
      <c r="AY32" s="7149">
        <f>IF(HLOOKUP("Mins",A1:CV300,32,FALSE)=0,0,HLOOKUP("BPS",A1:CV300,32,FALSE)/HLOOKUP("Mins",A1:CV300,32,FALSE)* 90)</f>
      </c>
      <c r="AZ32" s="7150">
        <f>IF(HLOOKUP("Mins",A1:CV300,32,FALSE)=0,0,HLOOKUP("Base BPS",A1:CV300,32,FALSE)/HLOOKUP("Mins",A1:CV300,32,FALSE)* 90)</f>
      </c>
      <c r="BA32" s="7151">
        <f>IF(HLOOKUP("Mins",A1:CV300,32,FALSE)=0,0,HLOOKUP("PenTchs",A1:CV300,32,FALSE)/HLOOKUP("Mins",A1:CV300,32,FALSE)* 90)</f>
      </c>
      <c r="BB32" s="7152">
        <f>IF(HLOOKUP("Mins",A1:CV300,32,FALSE)=0,0,HLOOKUP("Shots",A1:CV300,32,FALSE)/HLOOKUP("Mins",A1:CV300,32,FALSE)* 90)</f>
      </c>
      <c r="BC32" s="7153">
        <f>IF(HLOOKUP("Mins",A1:CV300,32,FALSE)=0,0,HLOOKUP("SIB",A1:CV300,32,FALSE)/HLOOKUP("Mins",A1:CV300,32,FALSE)* 90)</f>
      </c>
      <c r="BD32" s="7154">
        <f>IF(HLOOKUP("Mins",A1:CV300,32,FALSE)=0,0,HLOOKUP("S6YD",A1:CV300,32,FALSE)/HLOOKUP("Mins",A1:CV300,32,FALSE)* 90)</f>
      </c>
      <c r="BE32" s="7155">
        <f>IF(HLOOKUP("Mins",A1:CV300,32,FALSE)=0,0,HLOOKUP("Headers",A1:CV300,32,FALSE)/HLOOKUP("Mins",A1:CV300,32,FALSE)* 90)</f>
      </c>
      <c r="BF32" s="7156">
        <f>IF(HLOOKUP("Mins",A1:CV300,32,FALSE)=0,0,HLOOKUP("SOT",A1:CV300,32,FALSE)/HLOOKUP("Mins",A1:CV300,32,FALSE)* 90)</f>
      </c>
      <c r="BG32" s="7157">
        <f>IF(HLOOKUP("Mins",A1:CV300,32,FALSE)=0,0,HLOOKUP("As",A1:CV300,32,FALSE)/HLOOKUP("Mins",A1:CV300,32,FALSE)* 90)</f>
      </c>
      <c r="BH32" s="7158">
        <f>IF(HLOOKUP("Mins",A1:CV300,32,FALSE)=0,0,HLOOKUP("FPL As",A1:CV300,32,FALSE)/HLOOKUP("Mins",A1:CV300,32,FALSE)* 90)</f>
      </c>
      <c r="BI32" s="7159">
        <f>IF(HLOOKUP("Mins",A1:CV300,32,FALSE)=0,0,HLOOKUP("BC Created",A1:CV300,32,FALSE)/HLOOKUP("Mins",A1:CV300,32,FALSE)* 90)</f>
      </c>
      <c r="BJ32" s="7160">
        <f>IF(HLOOKUP("Mins",A1:CV300,32,FALSE)=0,0,HLOOKUP("KP",A1:CV300,32,FALSE)/HLOOKUP("Mins",A1:CV300,32,FALSE)* 90)</f>
      </c>
      <c r="BK32" s="7161">
        <f>IF(HLOOKUP("Mins",A1:CV300,32,FALSE)=0,0,HLOOKUP("BC",A1:CV300,32,FALSE)/HLOOKUP("Mins",A1:CV300,32,FALSE)* 90)</f>
      </c>
      <c r="BL32" s="7162">
        <f>IF(HLOOKUP("Mins",A1:CV300,32,FALSE)=0,0,HLOOKUP("BC Miss",A1:CV300,32,FALSE)/HLOOKUP("Mins",A1:CV300,32,FALSE)* 90)</f>
      </c>
      <c r="BM32" s="7163">
        <f>IF(HLOOKUP("Mins",A1:CV300,32,FALSE)=0,0,HLOOKUP("Gs - BC",A1:CV300,32,FALSE)/HLOOKUP("Mins",A1:CV300,32,FALSE)* 90)</f>
      </c>
      <c r="BN32" s="7164">
        <f>IF(HLOOKUP("Mins",A1:CV300,32,FALSE)=0,0,HLOOKUP("GIB",A1:CV300,32,FALSE)/HLOOKUP("Mins",A1:CV300,32,FALSE)* 90)</f>
      </c>
      <c r="BO32" s="7165">
        <f>IF(HLOOKUP("Mins",A1:CV300,32,FALSE)=0,0,HLOOKUP("Gs - Open",A1:CV300,32,FALSE)/HLOOKUP("Mins",A1:CV300,32,FALSE)* 90)</f>
      </c>
      <c r="BP32" s="7166">
        <f>IF(HLOOKUP("Mins",A1:CV300,32,FALSE)=0,0,HLOOKUP("ICT Index",A1:CV300,32,FALSE)/HLOOKUP("Mins",A1:CV300,32,FALSE)* 90)</f>
      </c>
      <c r="BQ32" s="7167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7168">
        <f>0.0825*HLOOKUP("KP/90",A1:CV300,32,FALSE)</f>
      </c>
      <c r="BS32" s="7169">
        <f>6*HLOOKUP("xG/90",A1:CV300,32,FALSE)+3*HLOOKUP("xA/90",A1:CV300,32,FALSE)</f>
      </c>
      <c r="BT32" s="7170">
        <f>HLOOKUP("xPts/90",A1:CV300,32,FALSE)-(6*0.75*(HLOOKUP("PK Gs",A1:CV300,32,FALSE)+HLOOKUP("PK Miss",A1:CV300,32,FALSE))*90/HLOOKUP("Mins",A1:CV300,32,FALSE))</f>
      </c>
      <c r="BU32" s="7171">
        <f>IF(HLOOKUP("Mins",A1:CV300,32,FALSE)=0,0,HLOOKUP("fsXG",A1:CV300,32,FALSE)/HLOOKUP("Mins",A1:CV300,32,FALSE)* 90)</f>
      </c>
      <c r="BV32" s="7172">
        <f>IF(HLOOKUP("Mins",A1:CV300,32,FALSE)=0,0,HLOOKUP("fsXA",A1:CV300,32,FALSE)/HLOOKUP("Mins",A1:CV300,32,FALSE)* 90)</f>
      </c>
      <c r="BW32" s="7173">
        <f>6*HLOOKUP("fsXG/90",A1:CV300,32,FALSE)+3*HLOOKUP("fsXA/90",A1:CV300,32,FALSE)</f>
      </c>
      <c r="BX32" t="n" s="7174">
        <v>0.013609266839921474</v>
      </c>
      <c r="BY32" t="n" s="7175">
        <v>0.07386570423841476</v>
      </c>
      <c r="BZ32" s="7176">
        <f>6*HLOOKUP("uXG/90",A1:CV300,32,FALSE)+3*HLOOKUP("uXA/90",A1:CV300,32,FALSE)</f>
      </c>
    </row>
    <row r="33">
      <c r="A33" t="s" s="7177">
        <v>189</v>
      </c>
      <c r="B33" t="s" s="7178">
        <v>102</v>
      </c>
      <c r="C33" t="n" s="7179">
        <v>4.400000095367432</v>
      </c>
      <c r="D33" t="n" s="7180">
        <v>421.0</v>
      </c>
      <c r="E33" t="n" s="7181">
        <v>5.0</v>
      </c>
      <c r="F33" t="n" s="7182">
        <v>10.0</v>
      </c>
      <c r="G33" t="n" s="7183">
        <v>0.0</v>
      </c>
      <c r="H33" t="n" s="7184">
        <v>0.0</v>
      </c>
      <c r="I33" t="n" s="7185">
        <v>61.0</v>
      </c>
      <c r="J33" s="7186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7187">
        <v>0.0</v>
      </c>
      <c r="L33" t="n" s="7188">
        <v>1.0</v>
      </c>
      <c r="M33" t="n" s="7189">
        <v>3.0</v>
      </c>
      <c r="N33" t="n" s="7190">
        <v>2.0</v>
      </c>
      <c r="O33" t="n" s="7191">
        <v>1.0</v>
      </c>
      <c r="P33" s="7192">
        <f>IF(HLOOKUP("Shots",A1:CV300,33,FALSE)=0,0,HLOOKUP("SIB",A1:CV300,33,FALSE)/HLOOKUP("Shots",A1:CV300,33,FALSE))</f>
      </c>
      <c r="Q33" t="n" s="7193">
        <v>0.0</v>
      </c>
      <c r="R33" s="7194">
        <f>IF(HLOOKUP("Shots",A1:CV300,33,FALSE)=0,0,HLOOKUP("S6YD",A1:CV300,33,FALSE)/HLOOKUP("Shots",A1:CV300,33,FALSE))</f>
      </c>
      <c r="S33" t="n" s="7195">
        <v>0.0</v>
      </c>
      <c r="T33" s="7196">
        <f>IF(HLOOKUP("Shots",A1:CV300,33,FALSE)=0,0,HLOOKUP("Headers",A1:CV300,33,FALSE)/HLOOKUP("Shots",A1:CV300,33,FALSE))</f>
      </c>
      <c r="U33" t="n" s="7197">
        <v>1.0</v>
      </c>
      <c r="V33" s="7198">
        <f>IF(HLOOKUP("Shots",A1:CV300,33,FALSE)=0,0,HLOOKUP("SOT",A1:CV300,33,FALSE)/HLOOKUP("Shots",A1:CV300,33,FALSE))</f>
      </c>
      <c r="W33" s="7199">
        <f>IF(HLOOKUP("Shots",A1:CV300,33,FALSE)=0,0,HLOOKUP("Gs",A1:CV300,33,FALSE)/HLOOKUP("Shots",A1:CV300,33,FALSE))</f>
      </c>
      <c r="X33" t="n" s="7200">
        <v>0.0</v>
      </c>
      <c r="Y33" t="n" s="7201">
        <v>0.0</v>
      </c>
      <c r="Z33" t="n" s="7202">
        <v>1.0</v>
      </c>
      <c r="AA33" s="7203">
        <f>IF(HLOOKUP("KP",A1:CV300,33,FALSE)=0,0,HLOOKUP("As",A1:CV300,33,FALSE)/HLOOKUP("KP",A1:CV300,33,FALSE))</f>
      </c>
      <c r="AB33" t="n" s="7204">
        <v>9.1</v>
      </c>
      <c r="AC33" t="n" s="7205">
        <v>0.0</v>
      </c>
      <c r="AD33" t="n" s="7206">
        <v>0.0</v>
      </c>
      <c r="AE33" t="n" s="7207">
        <v>0.0</v>
      </c>
      <c r="AF33" t="n" s="7208">
        <v>0.0</v>
      </c>
      <c r="AG33" s="7209">
        <f>IF(HLOOKUP("BC",A1:CV300,33,FALSE)=0,0,HLOOKUP("Gs - BC",A1:CV300,33,FALSE)/HLOOKUP("BC",A1:CV300,33,FALSE))</f>
      </c>
      <c r="AH33" s="7210">
        <f>HLOOKUP("BC",A1:CV300,33,FALSE) - HLOOKUP("BC Miss",A1:CV300,33,FALSE)</f>
      </c>
      <c r="AI33" s="7211">
        <f>IF(HLOOKUP("Gs",A1:CV300,33,FALSE)=0,0,HLOOKUP("Gs - BC",A1:CV300,33,FALSE)/HLOOKUP("Gs",A1:CV300,33,FALSE))</f>
      </c>
      <c r="AJ33" t="n" s="7212">
        <v>0.0</v>
      </c>
      <c r="AK33" t="n" s="7213">
        <v>0.0</v>
      </c>
      <c r="AL33" s="7214">
        <f>HLOOKUP("BC",A1:CV300,33,FALSE) - (HLOOKUP("PK Gs",A1:CV300,33,FALSE) + HLOOKUP("PK Miss",A1:CV300,33,FALSE))</f>
      </c>
      <c r="AM33" s="7215">
        <f>HLOOKUP("BC Miss",A1:CV300,33,FALSE) - HLOOKUP("PK Miss",A1:CV300,33,FALSE)</f>
      </c>
      <c r="AN33" s="7216">
        <f>IF(HLOOKUP("BC - Open",A1:CV300,33,FALSE)=0,0,HLOOKUP("BC - Open Miss",A1:CV300,33,FALSE)/HLOOKUP("BC - Open",A1:CV300,33,FALSE))</f>
      </c>
      <c r="AO33" t="n" s="7217">
        <v>0.0</v>
      </c>
      <c r="AP33" s="7218">
        <f>IF(HLOOKUP("Gs",A1:CV300,33,FALSE)=0,0,HLOOKUP("GIB",A1:CV300,33,FALSE)/HLOOKUP("Gs",A1:CV300,33,FALSE))</f>
      </c>
      <c r="AQ33" t="n" s="7219">
        <v>0.0</v>
      </c>
      <c r="AR33" s="7220">
        <f>IF(HLOOKUP("Gs",A1:CV300,33,FALSE)=0,0,HLOOKUP("Gs - Open",A1:CV300,33,FALSE)/HLOOKUP("Gs",A1:CV300,33,FALSE))</f>
      </c>
      <c r="AS33" t="n" s="7221">
        <v>0.07</v>
      </c>
      <c r="AT33" t="n" s="7222">
        <v>0.01</v>
      </c>
      <c r="AU33" s="7223">
        <f>IF(HLOOKUP("Mins",A1:CV300,33,FALSE)=0,0,HLOOKUP("Pts",A1:CV300,33,FALSE)/HLOOKUP("Mins",A1:CV300,33,FALSE)* 90)</f>
      </c>
      <c r="AV33" s="7224">
        <f>IF(HLOOKUP("Apps",A1:CV300,33,FALSE)=0,0,HLOOKUP("Pts",A1:CV300,33,FALSE)/HLOOKUP("Apps",A1:CV300,33,FALSE)* 1)</f>
      </c>
      <c r="AW33" s="7225">
        <f>IF(HLOOKUP("Mins",A1:CV300,33,FALSE)=0,0,HLOOKUP("Gs",A1:CV300,33,FALSE)/HLOOKUP("Mins",A1:CV300,33,FALSE)* 90)</f>
      </c>
      <c r="AX33" s="7226">
        <f>IF(HLOOKUP("Mins",A1:CV300,33,FALSE)=0,0,HLOOKUP("Bonus",A1:CV300,33,FALSE)/HLOOKUP("Mins",A1:CV300,33,FALSE)* 90)</f>
      </c>
      <c r="AY33" s="7227">
        <f>IF(HLOOKUP("Mins",A1:CV300,33,FALSE)=0,0,HLOOKUP("BPS",A1:CV300,33,FALSE)/HLOOKUP("Mins",A1:CV300,33,FALSE)* 90)</f>
      </c>
      <c r="AZ33" s="7228">
        <f>IF(HLOOKUP("Mins",A1:CV300,33,FALSE)=0,0,HLOOKUP("Base BPS",A1:CV300,33,FALSE)/HLOOKUP("Mins",A1:CV300,33,FALSE)* 90)</f>
      </c>
      <c r="BA33" s="7229">
        <f>IF(HLOOKUP("Mins",A1:CV300,33,FALSE)=0,0,HLOOKUP("PenTchs",A1:CV300,33,FALSE)/HLOOKUP("Mins",A1:CV300,33,FALSE)* 90)</f>
      </c>
      <c r="BB33" s="7230">
        <f>IF(HLOOKUP("Mins",A1:CV300,33,FALSE)=0,0,HLOOKUP("Shots",A1:CV300,33,FALSE)/HLOOKUP("Mins",A1:CV300,33,FALSE)* 90)</f>
      </c>
      <c r="BC33" s="7231">
        <f>IF(HLOOKUP("Mins",A1:CV300,33,FALSE)=0,0,HLOOKUP("SIB",A1:CV300,33,FALSE)/HLOOKUP("Mins",A1:CV300,33,FALSE)* 90)</f>
      </c>
      <c r="BD33" s="7232">
        <f>IF(HLOOKUP("Mins",A1:CV300,33,FALSE)=0,0,HLOOKUP("S6YD",A1:CV300,33,FALSE)/HLOOKUP("Mins",A1:CV300,33,FALSE)* 90)</f>
      </c>
      <c r="BE33" s="7233">
        <f>IF(HLOOKUP("Mins",A1:CV300,33,FALSE)=0,0,HLOOKUP("Headers",A1:CV300,33,FALSE)/HLOOKUP("Mins",A1:CV300,33,FALSE)* 90)</f>
      </c>
      <c r="BF33" s="7234">
        <f>IF(HLOOKUP("Mins",A1:CV300,33,FALSE)=0,0,HLOOKUP("SOT",A1:CV300,33,FALSE)/HLOOKUP("Mins",A1:CV300,33,FALSE)* 90)</f>
      </c>
      <c r="BG33" s="7235">
        <f>IF(HLOOKUP("Mins",A1:CV300,33,FALSE)=0,0,HLOOKUP("As",A1:CV300,33,FALSE)/HLOOKUP("Mins",A1:CV300,33,FALSE)* 90)</f>
      </c>
      <c r="BH33" s="7236">
        <f>IF(HLOOKUP("Mins",A1:CV300,33,FALSE)=0,0,HLOOKUP("FPL As",A1:CV300,33,FALSE)/HLOOKUP("Mins",A1:CV300,33,FALSE)* 90)</f>
      </c>
      <c r="BI33" s="7237">
        <f>IF(HLOOKUP("Mins",A1:CV300,33,FALSE)=0,0,HLOOKUP("BC Created",A1:CV300,33,FALSE)/HLOOKUP("Mins",A1:CV300,33,FALSE)* 90)</f>
      </c>
      <c r="BJ33" s="7238">
        <f>IF(HLOOKUP("Mins",A1:CV300,33,FALSE)=0,0,HLOOKUP("KP",A1:CV300,33,FALSE)/HLOOKUP("Mins",A1:CV300,33,FALSE)* 90)</f>
      </c>
      <c r="BK33" s="7239">
        <f>IF(HLOOKUP("Mins",A1:CV300,33,FALSE)=0,0,HLOOKUP("BC",A1:CV300,33,FALSE)/HLOOKUP("Mins",A1:CV300,33,FALSE)* 90)</f>
      </c>
      <c r="BL33" s="7240">
        <f>IF(HLOOKUP("Mins",A1:CV300,33,FALSE)=0,0,HLOOKUP("BC Miss",A1:CV300,33,FALSE)/HLOOKUP("Mins",A1:CV300,33,FALSE)* 90)</f>
      </c>
      <c r="BM33" s="7241">
        <f>IF(HLOOKUP("Mins",A1:CV300,33,FALSE)=0,0,HLOOKUP("Gs - BC",A1:CV300,33,FALSE)/HLOOKUP("Mins",A1:CV300,33,FALSE)* 90)</f>
      </c>
      <c r="BN33" s="7242">
        <f>IF(HLOOKUP("Mins",A1:CV300,33,FALSE)=0,0,HLOOKUP("GIB",A1:CV300,33,FALSE)/HLOOKUP("Mins",A1:CV300,33,FALSE)* 90)</f>
      </c>
      <c r="BO33" s="7243">
        <f>IF(HLOOKUP("Mins",A1:CV300,33,FALSE)=0,0,HLOOKUP("Gs - Open",A1:CV300,33,FALSE)/HLOOKUP("Mins",A1:CV300,33,FALSE)* 90)</f>
      </c>
      <c r="BP33" s="7244">
        <f>IF(HLOOKUP("Mins",A1:CV300,33,FALSE)=0,0,HLOOKUP("ICT Index",A1:CV300,33,FALSE)/HLOOKUP("Mins",A1:CV300,33,FALSE)* 90)</f>
      </c>
      <c r="BQ33" s="7245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7246">
        <f>0.0825*HLOOKUP("KP/90",A1:CV300,33,FALSE)</f>
      </c>
      <c r="BS33" s="7247">
        <f>6*HLOOKUP("xG/90",A1:CV300,33,FALSE)+3*HLOOKUP("xA/90",A1:CV300,33,FALSE)</f>
      </c>
      <c r="BT33" s="7248">
        <f>HLOOKUP("xPts/90",A1:CV300,33,FALSE)-(6*0.75*(HLOOKUP("PK Gs",A1:CV300,33,FALSE)+HLOOKUP("PK Miss",A1:CV300,33,FALSE))*90/HLOOKUP("Mins",A1:CV300,33,FALSE))</f>
      </c>
      <c r="BU33" s="7249">
        <f>IF(HLOOKUP("Mins",A1:CV300,33,FALSE)=0,0,HLOOKUP("fsXG",A1:CV300,33,FALSE)/HLOOKUP("Mins",A1:CV300,33,FALSE)* 90)</f>
      </c>
      <c r="BV33" s="7250">
        <f>IF(HLOOKUP("Mins",A1:CV300,33,FALSE)=0,0,HLOOKUP("fsXA",A1:CV300,33,FALSE)/HLOOKUP("Mins",A1:CV300,33,FALSE)* 90)</f>
      </c>
      <c r="BW33" s="7251">
        <f>6*HLOOKUP("fsXG/90",A1:CV300,33,FALSE)+3*HLOOKUP("fsXA/90",A1:CV300,33,FALSE)</f>
      </c>
      <c r="BX33" t="n" s="7252">
        <v>0.013288978487253189</v>
      </c>
      <c r="BY33" t="n" s="7253">
        <v>0.010904090479016304</v>
      </c>
      <c r="BZ33" s="7254">
        <f>6*HLOOKUP("uXG/90",A1:CV300,33,FALSE)+3*HLOOKUP("uXA/90",A1:CV300,33,FALSE)</f>
      </c>
    </row>
    <row r="34">
      <c r="A34" t="s" s="7255">
        <v>190</v>
      </c>
      <c r="B34" t="s" s="7256">
        <v>85</v>
      </c>
      <c r="C34" t="n" s="7257">
        <v>5.099999904632568</v>
      </c>
      <c r="D34" t="n" s="7258">
        <v>430.0</v>
      </c>
      <c r="E34" t="n" s="7259">
        <v>5.0</v>
      </c>
      <c r="F34" t="n" s="7260">
        <v>104.0</v>
      </c>
      <c r="G34" t="n" s="7261">
        <v>0.0</v>
      </c>
      <c r="H34" t="n" s="7262">
        <v>12.0</v>
      </c>
      <c r="I34" t="n" s="7263">
        <v>393.0</v>
      </c>
      <c r="J34" s="7264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7265">
        <v>0.0</v>
      </c>
      <c r="L34" t="n" s="7266">
        <v>8.0</v>
      </c>
      <c r="M34" t="n" s="7267">
        <v>12.0</v>
      </c>
      <c r="N34" t="n" s="7268">
        <v>6.0</v>
      </c>
      <c r="O34" t="n" s="7269">
        <v>5.0</v>
      </c>
      <c r="P34" s="7270">
        <f>IF(HLOOKUP("Shots",A1:CV300,34,FALSE)=0,0,HLOOKUP("SIB",A1:CV300,34,FALSE)/HLOOKUP("Shots",A1:CV300,34,FALSE))</f>
      </c>
      <c r="Q34" t="n" s="7271">
        <v>0.0</v>
      </c>
      <c r="R34" s="7272">
        <f>IF(HLOOKUP("Shots",A1:CV300,34,FALSE)=0,0,HLOOKUP("S6YD",A1:CV300,34,FALSE)/HLOOKUP("Shots",A1:CV300,34,FALSE))</f>
      </c>
      <c r="S34" t="n" s="7273">
        <v>1.0</v>
      </c>
      <c r="T34" s="7274">
        <f>IF(HLOOKUP("Shots",A1:CV300,34,FALSE)=0,0,HLOOKUP("Headers",A1:CV300,34,FALSE)/HLOOKUP("Shots",A1:CV300,34,FALSE))</f>
      </c>
      <c r="U34" t="n" s="7275">
        <v>0.0</v>
      </c>
      <c r="V34" s="7276">
        <f>IF(HLOOKUP("Shots",A1:CV300,34,FALSE)=0,0,HLOOKUP("SOT",A1:CV300,34,FALSE)/HLOOKUP("Shots",A1:CV300,34,FALSE))</f>
      </c>
      <c r="W34" s="7277">
        <f>IF(HLOOKUP("Shots",A1:CV300,34,FALSE)=0,0,HLOOKUP("Gs",A1:CV300,34,FALSE)/HLOOKUP("Shots",A1:CV300,34,FALSE))</f>
      </c>
      <c r="X34" t="n" s="7278">
        <v>1.0</v>
      </c>
      <c r="Y34" t="n" s="7279">
        <v>3.0</v>
      </c>
      <c r="Z34" t="n" s="7280">
        <v>3.0</v>
      </c>
      <c r="AA34" s="7281">
        <f>IF(HLOOKUP("KP",A1:CV300,34,FALSE)=0,0,HLOOKUP("As",A1:CV300,34,FALSE)/HLOOKUP("KP",A1:CV300,34,FALSE))</f>
      </c>
      <c r="AB34" t="n" s="7282">
        <v>18.1</v>
      </c>
      <c r="AC34" t="n" s="7283">
        <v>20.0</v>
      </c>
      <c r="AD34" t="n" s="7284">
        <v>1.0</v>
      </c>
      <c r="AE34" t="n" s="7285">
        <v>0.0</v>
      </c>
      <c r="AF34" t="n" s="7286">
        <v>0.0</v>
      </c>
      <c r="AG34" s="7287">
        <f>IF(HLOOKUP("BC",A1:CV300,34,FALSE)=0,0,HLOOKUP("Gs - BC",A1:CV300,34,FALSE)/HLOOKUP("BC",A1:CV300,34,FALSE))</f>
      </c>
      <c r="AH34" s="7288">
        <f>HLOOKUP("BC",A1:CV300,34,FALSE) - HLOOKUP("BC Miss",A1:CV300,34,FALSE)</f>
      </c>
      <c r="AI34" s="7289">
        <f>IF(HLOOKUP("Gs",A1:CV300,34,FALSE)=0,0,HLOOKUP("Gs - BC",A1:CV300,34,FALSE)/HLOOKUP("Gs",A1:CV300,34,FALSE))</f>
      </c>
      <c r="AJ34" t="n" s="7290">
        <v>0.0</v>
      </c>
      <c r="AK34" t="n" s="7291">
        <v>0.0</v>
      </c>
      <c r="AL34" s="7292">
        <f>HLOOKUP("BC",A1:CV300,34,FALSE) - (HLOOKUP("PK Gs",A1:CV300,34,FALSE) + HLOOKUP("PK Miss",A1:CV300,34,FALSE))</f>
      </c>
      <c r="AM34" s="7293">
        <f>HLOOKUP("BC Miss",A1:CV300,34,FALSE) - HLOOKUP("PK Miss",A1:CV300,34,FALSE)</f>
      </c>
      <c r="AN34" s="7294">
        <f>IF(HLOOKUP("BC - Open",A1:CV300,34,FALSE)=0,0,HLOOKUP("BC - Open Miss",A1:CV300,34,FALSE)/HLOOKUP("BC - Open",A1:CV300,34,FALSE))</f>
      </c>
      <c r="AO34" t="n" s="7295">
        <v>0.0</v>
      </c>
      <c r="AP34" s="7296">
        <f>IF(HLOOKUP("Gs",A1:CV300,34,FALSE)=0,0,HLOOKUP("GIB",A1:CV300,34,FALSE)/HLOOKUP("Gs",A1:CV300,34,FALSE))</f>
      </c>
      <c r="AQ34" t="n" s="7297">
        <v>0.0</v>
      </c>
      <c r="AR34" s="7298">
        <f>IF(HLOOKUP("Gs",A1:CV300,34,FALSE)=0,0,HLOOKUP("Gs - Open",A1:CV300,34,FALSE)/HLOOKUP("Gs",A1:CV300,34,FALSE))</f>
      </c>
      <c r="AS34" t="n" s="7299">
        <v>0.36</v>
      </c>
      <c r="AT34" t="n" s="7300">
        <v>0.27</v>
      </c>
      <c r="AU34" s="7301">
        <f>IF(HLOOKUP("Mins",A1:CV300,34,FALSE)=0,0,HLOOKUP("Pts",A1:CV300,34,FALSE)/HLOOKUP("Mins",A1:CV300,34,FALSE)* 90)</f>
      </c>
      <c r="AV34" s="7302">
        <f>IF(HLOOKUP("Apps",A1:CV300,34,FALSE)=0,0,HLOOKUP("Pts",A1:CV300,34,FALSE)/HLOOKUP("Apps",A1:CV300,34,FALSE)* 1)</f>
      </c>
      <c r="AW34" s="7303">
        <f>IF(HLOOKUP("Mins",A1:CV300,34,FALSE)=0,0,HLOOKUP("Gs",A1:CV300,34,FALSE)/HLOOKUP("Mins",A1:CV300,34,FALSE)* 90)</f>
      </c>
      <c r="AX34" s="7304">
        <f>IF(HLOOKUP("Mins",A1:CV300,34,FALSE)=0,0,HLOOKUP("Bonus",A1:CV300,34,FALSE)/HLOOKUP("Mins",A1:CV300,34,FALSE)* 90)</f>
      </c>
      <c r="AY34" s="7305">
        <f>IF(HLOOKUP("Mins",A1:CV300,34,FALSE)=0,0,HLOOKUP("BPS",A1:CV300,34,FALSE)/HLOOKUP("Mins",A1:CV300,34,FALSE)* 90)</f>
      </c>
      <c r="AZ34" s="7306">
        <f>IF(HLOOKUP("Mins",A1:CV300,34,FALSE)=0,0,HLOOKUP("Base BPS",A1:CV300,34,FALSE)/HLOOKUP("Mins",A1:CV300,34,FALSE)* 90)</f>
      </c>
      <c r="BA34" s="7307">
        <f>IF(HLOOKUP("Mins",A1:CV300,34,FALSE)=0,0,HLOOKUP("PenTchs",A1:CV300,34,FALSE)/HLOOKUP("Mins",A1:CV300,34,FALSE)* 90)</f>
      </c>
      <c r="BB34" s="7308">
        <f>IF(HLOOKUP("Mins",A1:CV300,34,FALSE)=0,0,HLOOKUP("Shots",A1:CV300,34,FALSE)/HLOOKUP("Mins",A1:CV300,34,FALSE)* 90)</f>
      </c>
      <c r="BC34" s="7309">
        <f>IF(HLOOKUP("Mins",A1:CV300,34,FALSE)=0,0,HLOOKUP("SIB",A1:CV300,34,FALSE)/HLOOKUP("Mins",A1:CV300,34,FALSE)* 90)</f>
      </c>
      <c r="BD34" s="7310">
        <f>IF(HLOOKUP("Mins",A1:CV300,34,FALSE)=0,0,HLOOKUP("S6YD",A1:CV300,34,FALSE)/HLOOKUP("Mins",A1:CV300,34,FALSE)* 90)</f>
      </c>
      <c r="BE34" s="7311">
        <f>IF(HLOOKUP("Mins",A1:CV300,34,FALSE)=0,0,HLOOKUP("Headers",A1:CV300,34,FALSE)/HLOOKUP("Mins",A1:CV300,34,FALSE)* 90)</f>
      </c>
      <c r="BF34" s="7312">
        <f>IF(HLOOKUP("Mins",A1:CV300,34,FALSE)=0,0,HLOOKUP("SOT",A1:CV300,34,FALSE)/HLOOKUP("Mins",A1:CV300,34,FALSE)* 90)</f>
      </c>
      <c r="BG34" s="7313">
        <f>IF(HLOOKUP("Mins",A1:CV300,34,FALSE)=0,0,HLOOKUP("As",A1:CV300,34,FALSE)/HLOOKUP("Mins",A1:CV300,34,FALSE)* 90)</f>
      </c>
      <c r="BH34" s="7314">
        <f>IF(HLOOKUP("Mins",A1:CV300,34,FALSE)=0,0,HLOOKUP("FPL As",A1:CV300,34,FALSE)/HLOOKUP("Mins",A1:CV300,34,FALSE)* 90)</f>
      </c>
      <c r="BI34" s="7315">
        <f>IF(HLOOKUP("Mins",A1:CV300,34,FALSE)=0,0,HLOOKUP("BC Created",A1:CV300,34,FALSE)/HLOOKUP("Mins",A1:CV300,34,FALSE)* 90)</f>
      </c>
      <c r="BJ34" s="7316">
        <f>IF(HLOOKUP("Mins",A1:CV300,34,FALSE)=0,0,HLOOKUP("KP",A1:CV300,34,FALSE)/HLOOKUP("Mins",A1:CV300,34,FALSE)* 90)</f>
      </c>
      <c r="BK34" s="7317">
        <f>IF(HLOOKUP("Mins",A1:CV300,34,FALSE)=0,0,HLOOKUP("BC",A1:CV300,34,FALSE)/HLOOKUP("Mins",A1:CV300,34,FALSE)* 90)</f>
      </c>
      <c r="BL34" s="7318">
        <f>IF(HLOOKUP("Mins",A1:CV300,34,FALSE)=0,0,HLOOKUP("BC Miss",A1:CV300,34,FALSE)/HLOOKUP("Mins",A1:CV300,34,FALSE)* 90)</f>
      </c>
      <c r="BM34" s="7319">
        <f>IF(HLOOKUP("Mins",A1:CV300,34,FALSE)=0,0,HLOOKUP("Gs - BC",A1:CV300,34,FALSE)/HLOOKUP("Mins",A1:CV300,34,FALSE)* 90)</f>
      </c>
      <c r="BN34" s="7320">
        <f>IF(HLOOKUP("Mins",A1:CV300,34,FALSE)=0,0,HLOOKUP("GIB",A1:CV300,34,FALSE)/HLOOKUP("Mins",A1:CV300,34,FALSE)* 90)</f>
      </c>
      <c r="BO34" s="7321">
        <f>IF(HLOOKUP("Mins",A1:CV300,34,FALSE)=0,0,HLOOKUP("Gs - Open",A1:CV300,34,FALSE)/HLOOKUP("Mins",A1:CV300,34,FALSE)* 90)</f>
      </c>
      <c r="BP34" s="7322">
        <f>IF(HLOOKUP("Mins",A1:CV300,34,FALSE)=0,0,HLOOKUP("ICT Index",A1:CV300,34,FALSE)/HLOOKUP("Mins",A1:CV300,34,FALSE)* 90)</f>
      </c>
      <c r="BQ34" s="7323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7324">
        <f>0.0825*HLOOKUP("KP/90",A1:CV300,34,FALSE)</f>
      </c>
      <c r="BS34" s="7325">
        <f>6*HLOOKUP("xG/90",A1:CV300,34,FALSE)+3*HLOOKUP("xA/90",A1:CV300,34,FALSE)</f>
      </c>
      <c r="BT34" s="7326">
        <f>HLOOKUP("xPts/90",A1:CV300,34,FALSE)-(6*0.75*(HLOOKUP("PK Gs",A1:CV300,34,FALSE)+HLOOKUP("PK Miss",A1:CV300,34,FALSE))*90/HLOOKUP("Mins",A1:CV300,34,FALSE))</f>
      </c>
      <c r="BU34" s="7327">
        <f>IF(HLOOKUP("Mins",A1:CV300,34,FALSE)=0,0,HLOOKUP("fsXG",A1:CV300,34,FALSE)/HLOOKUP("Mins",A1:CV300,34,FALSE)* 90)</f>
      </c>
      <c r="BV34" s="7328">
        <f>IF(HLOOKUP("Mins",A1:CV300,34,FALSE)=0,0,HLOOKUP("fsXA",A1:CV300,34,FALSE)/HLOOKUP("Mins",A1:CV300,34,FALSE)* 90)</f>
      </c>
      <c r="BW34" s="7329">
        <f>6*HLOOKUP("fsXG/90",A1:CV300,34,FALSE)+3*HLOOKUP("fsXA/90",A1:CV300,34,FALSE)</f>
      </c>
      <c r="BX34" t="n" s="7330">
        <v>0.0595463402569294</v>
      </c>
      <c r="BY34" t="n" s="7331">
        <v>0.11396487057209015</v>
      </c>
      <c r="BZ34" s="7332">
        <f>6*HLOOKUP("uXG/90",A1:CV300,34,FALSE)+3*HLOOKUP("uXA/90",A1:CV300,34,FALSE)</f>
      </c>
    </row>
    <row r="35">
      <c r="A35" t="s" s="7333">
        <v>191</v>
      </c>
      <c r="B35" t="s" s="7334">
        <v>94</v>
      </c>
      <c r="C35" t="n" s="7335">
        <v>5.300000190734863</v>
      </c>
      <c r="D35" t="n" s="7336">
        <v>405.0</v>
      </c>
      <c r="E35" t="n" s="7337">
        <v>5.0</v>
      </c>
      <c r="F35" t="n" s="7338">
        <v>25.0</v>
      </c>
      <c r="G35" t="n" s="7339">
        <v>0.0</v>
      </c>
      <c r="H35" t="n" s="7340">
        <v>0.0</v>
      </c>
      <c r="I35" t="n" s="7341">
        <v>244.0</v>
      </c>
      <c r="J35" s="7342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7343">
        <v>0.0</v>
      </c>
      <c r="L35" t="n" s="7344">
        <v>1.0</v>
      </c>
      <c r="M35" t="n" s="7345">
        <v>3.0</v>
      </c>
      <c r="N35" t="n" s="7346">
        <v>0.0</v>
      </c>
      <c r="O35" t="n" s="7347">
        <v>0.0</v>
      </c>
      <c r="P35" s="7348">
        <f>IF(HLOOKUP("Shots",A1:CV300,35,FALSE)=0,0,HLOOKUP("SIB",A1:CV300,35,FALSE)/HLOOKUP("Shots",A1:CV300,35,FALSE))</f>
      </c>
      <c r="Q35" t="n" s="7349">
        <v>0.0</v>
      </c>
      <c r="R35" s="7350">
        <f>IF(HLOOKUP("Shots",A1:CV300,35,FALSE)=0,0,HLOOKUP("S6YD",A1:CV300,35,FALSE)/HLOOKUP("Shots",A1:CV300,35,FALSE))</f>
      </c>
      <c r="S35" t="n" s="7351">
        <v>0.0</v>
      </c>
      <c r="T35" s="7352">
        <f>IF(HLOOKUP("Shots",A1:CV300,35,FALSE)=0,0,HLOOKUP("Headers",A1:CV300,35,FALSE)/HLOOKUP("Shots",A1:CV300,35,FALSE))</f>
      </c>
      <c r="U35" t="n" s="7353">
        <v>0.0</v>
      </c>
      <c r="V35" s="7354">
        <f>IF(HLOOKUP("Shots",A1:CV300,35,FALSE)=0,0,HLOOKUP("SOT",A1:CV300,35,FALSE)/HLOOKUP("Shots",A1:CV300,35,FALSE))</f>
      </c>
      <c r="W35" s="7355">
        <f>IF(HLOOKUP("Shots",A1:CV300,35,FALSE)=0,0,HLOOKUP("Gs",A1:CV300,35,FALSE)/HLOOKUP("Shots",A1:CV300,35,FALSE))</f>
      </c>
      <c r="X35" t="n" s="7356">
        <v>0.0</v>
      </c>
      <c r="Y35" t="n" s="7357">
        <v>0.0</v>
      </c>
      <c r="Z35" t="n" s="7358">
        <v>0.0</v>
      </c>
      <c r="AA35" s="7359">
        <f>IF(HLOOKUP("KP",A1:CV300,35,FALSE)=0,0,HLOOKUP("As",A1:CV300,35,FALSE)/HLOOKUP("KP",A1:CV300,35,FALSE))</f>
      </c>
      <c r="AB35" t="n" s="7360">
        <v>10.3</v>
      </c>
      <c r="AC35" t="n" s="7361">
        <v>0.0</v>
      </c>
      <c r="AD35" t="n" s="7362">
        <v>0.0</v>
      </c>
      <c r="AE35" t="n" s="7363">
        <v>0.0</v>
      </c>
      <c r="AF35" t="n" s="7364">
        <v>0.0</v>
      </c>
      <c r="AG35" s="7365">
        <f>IF(HLOOKUP("BC",A1:CV300,35,FALSE)=0,0,HLOOKUP("Gs - BC",A1:CV300,35,FALSE)/HLOOKUP("BC",A1:CV300,35,FALSE))</f>
      </c>
      <c r="AH35" s="7366">
        <f>HLOOKUP("BC",A1:CV300,35,FALSE) - HLOOKUP("BC Miss",A1:CV300,35,FALSE)</f>
      </c>
      <c r="AI35" s="7367">
        <f>IF(HLOOKUP("Gs",A1:CV300,35,FALSE)=0,0,HLOOKUP("Gs - BC",A1:CV300,35,FALSE)/HLOOKUP("Gs",A1:CV300,35,FALSE))</f>
      </c>
      <c r="AJ35" t="n" s="7368">
        <v>0.0</v>
      </c>
      <c r="AK35" t="n" s="7369">
        <v>0.0</v>
      </c>
      <c r="AL35" s="7370">
        <f>HLOOKUP("BC",A1:CV300,35,FALSE) - (HLOOKUP("PK Gs",A1:CV300,35,FALSE) + HLOOKUP("PK Miss",A1:CV300,35,FALSE))</f>
      </c>
      <c r="AM35" s="7371">
        <f>HLOOKUP("BC Miss",A1:CV300,35,FALSE) - HLOOKUP("PK Miss",A1:CV300,35,FALSE)</f>
      </c>
      <c r="AN35" s="7372">
        <f>IF(HLOOKUP("BC - Open",A1:CV300,35,FALSE)=0,0,HLOOKUP("BC - Open Miss",A1:CV300,35,FALSE)/HLOOKUP("BC - Open",A1:CV300,35,FALSE))</f>
      </c>
      <c r="AO35" t="n" s="7373">
        <v>0.0</v>
      </c>
      <c r="AP35" s="7374">
        <f>IF(HLOOKUP("Gs",A1:CV300,35,FALSE)=0,0,HLOOKUP("GIB",A1:CV300,35,FALSE)/HLOOKUP("Gs",A1:CV300,35,FALSE))</f>
      </c>
      <c r="AQ35" t="n" s="7375">
        <v>0.0</v>
      </c>
      <c r="AR35" s="7376">
        <f>IF(HLOOKUP("Gs",A1:CV300,35,FALSE)=0,0,HLOOKUP("Gs - Open",A1:CV300,35,FALSE)/HLOOKUP("Gs",A1:CV300,35,FALSE))</f>
      </c>
      <c r="AS35" t="n" s="7377">
        <v>0.0</v>
      </c>
      <c r="AT35" t="n" s="7378">
        <v>0.02</v>
      </c>
      <c r="AU35" s="7379">
        <f>IF(HLOOKUP("Mins",A1:CV300,35,FALSE)=0,0,HLOOKUP("Pts",A1:CV300,35,FALSE)/HLOOKUP("Mins",A1:CV300,35,FALSE)* 90)</f>
      </c>
      <c r="AV35" s="7380">
        <f>IF(HLOOKUP("Apps",A1:CV300,35,FALSE)=0,0,HLOOKUP("Pts",A1:CV300,35,FALSE)/HLOOKUP("Apps",A1:CV300,35,FALSE)* 1)</f>
      </c>
      <c r="AW35" s="7381">
        <f>IF(HLOOKUP("Mins",A1:CV300,35,FALSE)=0,0,HLOOKUP("Gs",A1:CV300,35,FALSE)/HLOOKUP("Mins",A1:CV300,35,FALSE)* 90)</f>
      </c>
      <c r="AX35" s="7382">
        <f>IF(HLOOKUP("Mins",A1:CV300,35,FALSE)=0,0,HLOOKUP("Bonus",A1:CV300,35,FALSE)/HLOOKUP("Mins",A1:CV300,35,FALSE)* 90)</f>
      </c>
      <c r="AY35" s="7383">
        <f>IF(HLOOKUP("Mins",A1:CV300,35,FALSE)=0,0,HLOOKUP("BPS",A1:CV300,35,FALSE)/HLOOKUP("Mins",A1:CV300,35,FALSE)* 90)</f>
      </c>
      <c r="AZ35" s="7384">
        <f>IF(HLOOKUP("Mins",A1:CV300,35,FALSE)=0,0,HLOOKUP("Base BPS",A1:CV300,35,FALSE)/HLOOKUP("Mins",A1:CV300,35,FALSE)* 90)</f>
      </c>
      <c r="BA35" s="7385">
        <f>IF(HLOOKUP("Mins",A1:CV300,35,FALSE)=0,0,HLOOKUP("PenTchs",A1:CV300,35,FALSE)/HLOOKUP("Mins",A1:CV300,35,FALSE)* 90)</f>
      </c>
      <c r="BB35" s="7386">
        <f>IF(HLOOKUP("Mins",A1:CV300,35,FALSE)=0,0,HLOOKUP("Shots",A1:CV300,35,FALSE)/HLOOKUP("Mins",A1:CV300,35,FALSE)* 90)</f>
      </c>
      <c r="BC35" s="7387">
        <f>IF(HLOOKUP("Mins",A1:CV300,35,FALSE)=0,0,HLOOKUP("SIB",A1:CV300,35,FALSE)/HLOOKUP("Mins",A1:CV300,35,FALSE)* 90)</f>
      </c>
      <c r="BD35" s="7388">
        <f>IF(HLOOKUP("Mins",A1:CV300,35,FALSE)=0,0,HLOOKUP("S6YD",A1:CV300,35,FALSE)/HLOOKUP("Mins",A1:CV300,35,FALSE)* 90)</f>
      </c>
      <c r="BE35" s="7389">
        <f>IF(HLOOKUP("Mins",A1:CV300,35,FALSE)=0,0,HLOOKUP("Headers",A1:CV300,35,FALSE)/HLOOKUP("Mins",A1:CV300,35,FALSE)* 90)</f>
      </c>
      <c r="BF35" s="7390">
        <f>IF(HLOOKUP("Mins",A1:CV300,35,FALSE)=0,0,HLOOKUP("SOT",A1:CV300,35,FALSE)/HLOOKUP("Mins",A1:CV300,35,FALSE)* 90)</f>
      </c>
      <c r="BG35" s="7391">
        <f>IF(HLOOKUP("Mins",A1:CV300,35,FALSE)=0,0,HLOOKUP("As",A1:CV300,35,FALSE)/HLOOKUP("Mins",A1:CV300,35,FALSE)* 90)</f>
      </c>
      <c r="BH35" s="7392">
        <f>IF(HLOOKUP("Mins",A1:CV300,35,FALSE)=0,0,HLOOKUP("FPL As",A1:CV300,35,FALSE)/HLOOKUP("Mins",A1:CV300,35,FALSE)* 90)</f>
      </c>
      <c r="BI35" s="7393">
        <f>IF(HLOOKUP("Mins",A1:CV300,35,FALSE)=0,0,HLOOKUP("BC Created",A1:CV300,35,FALSE)/HLOOKUP("Mins",A1:CV300,35,FALSE)* 90)</f>
      </c>
      <c r="BJ35" s="7394">
        <f>IF(HLOOKUP("Mins",A1:CV300,35,FALSE)=0,0,HLOOKUP("KP",A1:CV300,35,FALSE)/HLOOKUP("Mins",A1:CV300,35,FALSE)* 90)</f>
      </c>
      <c r="BK35" s="7395">
        <f>IF(HLOOKUP("Mins",A1:CV300,35,FALSE)=0,0,HLOOKUP("BC",A1:CV300,35,FALSE)/HLOOKUP("Mins",A1:CV300,35,FALSE)* 90)</f>
      </c>
      <c r="BL35" s="7396">
        <f>IF(HLOOKUP("Mins",A1:CV300,35,FALSE)=0,0,HLOOKUP("BC Miss",A1:CV300,35,FALSE)/HLOOKUP("Mins",A1:CV300,35,FALSE)* 90)</f>
      </c>
      <c r="BM35" s="7397">
        <f>IF(HLOOKUP("Mins",A1:CV300,35,FALSE)=0,0,HLOOKUP("Gs - BC",A1:CV300,35,FALSE)/HLOOKUP("Mins",A1:CV300,35,FALSE)* 90)</f>
      </c>
      <c r="BN35" s="7398">
        <f>IF(HLOOKUP("Mins",A1:CV300,35,FALSE)=0,0,HLOOKUP("GIB",A1:CV300,35,FALSE)/HLOOKUP("Mins",A1:CV300,35,FALSE)* 90)</f>
      </c>
      <c r="BO35" s="7399">
        <f>IF(HLOOKUP("Mins",A1:CV300,35,FALSE)=0,0,HLOOKUP("Gs - Open",A1:CV300,35,FALSE)/HLOOKUP("Mins",A1:CV300,35,FALSE)* 90)</f>
      </c>
      <c r="BP35" s="7400">
        <f>IF(HLOOKUP("Mins",A1:CV300,35,FALSE)=0,0,HLOOKUP("ICT Index",A1:CV300,35,FALSE)/HLOOKUP("Mins",A1:CV300,35,FALSE)* 90)</f>
      </c>
      <c r="BQ35" s="7401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7402">
        <f>0.0825*HLOOKUP("KP/90",A1:CV300,35,FALSE)</f>
      </c>
      <c r="BS35" s="7403">
        <f>6*HLOOKUP("xG/90",A1:CV300,35,FALSE)+3*HLOOKUP("xA/90",A1:CV300,35,FALSE)</f>
      </c>
      <c r="BT35" s="7404">
        <f>HLOOKUP("xPts/90",A1:CV300,35,FALSE)-(6*0.75*(HLOOKUP("PK Gs",A1:CV300,35,FALSE)+HLOOKUP("PK Miss",A1:CV300,35,FALSE))*90/HLOOKUP("Mins",A1:CV300,35,FALSE))</f>
      </c>
      <c r="BU35" s="7405">
        <f>IF(HLOOKUP("Mins",A1:CV300,35,FALSE)=0,0,HLOOKUP("fsXG",A1:CV300,35,FALSE)/HLOOKUP("Mins",A1:CV300,35,FALSE)* 90)</f>
      </c>
      <c r="BV35" s="7406">
        <f>IF(HLOOKUP("Mins",A1:CV300,35,FALSE)=0,0,HLOOKUP("fsXA",A1:CV300,35,FALSE)/HLOOKUP("Mins",A1:CV300,35,FALSE)* 90)</f>
      </c>
      <c r="BW35" s="7407">
        <f>6*HLOOKUP("fsXG/90",A1:CV300,35,FALSE)+3*HLOOKUP("fsXA/90",A1:CV300,35,FALSE)</f>
      </c>
      <c r="BX35" t="n" s="7408">
        <v>0.0</v>
      </c>
      <c r="BY35" t="n" s="7409">
        <v>0.0</v>
      </c>
      <c r="BZ35" s="7410">
        <f>6*HLOOKUP("uXG/90",A1:CV300,35,FALSE)+3*HLOOKUP("uXA/90",A1:CV300,35,FALSE)</f>
      </c>
    </row>
    <row r="36">
      <c r="A36" t="s" s="7411">
        <v>192</v>
      </c>
      <c r="B36" t="s" s="7412">
        <v>107</v>
      </c>
      <c r="C36" t="n" s="7413">
        <v>5.0</v>
      </c>
      <c r="D36" t="n" s="7414">
        <v>540.0</v>
      </c>
      <c r="E36" t="n" s="7415">
        <v>6.0</v>
      </c>
      <c r="F36" t="n" s="7416">
        <v>45.0</v>
      </c>
      <c r="G36" t="n" s="7417">
        <v>1.0</v>
      </c>
      <c r="H36" t="n" s="7418">
        <v>4.0</v>
      </c>
      <c r="I36" t="n" s="7419">
        <v>219.0</v>
      </c>
      <c r="J36" s="7420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7421">
        <v>0.0</v>
      </c>
      <c r="L36" t="n" s="7422">
        <v>3.0</v>
      </c>
      <c r="M36" t="n" s="7423">
        <v>9.0</v>
      </c>
      <c r="N36" t="n" s="7424">
        <v>6.0</v>
      </c>
      <c r="O36" t="n" s="7425">
        <v>5.0</v>
      </c>
      <c r="P36" s="7426">
        <f>IF(HLOOKUP("Shots",A1:CV300,36,FALSE)=0,0,HLOOKUP("SIB",A1:CV300,36,FALSE)/HLOOKUP("Shots",A1:CV300,36,FALSE))</f>
      </c>
      <c r="Q36" t="n" s="7427">
        <v>1.0</v>
      </c>
      <c r="R36" s="7428">
        <f>IF(HLOOKUP("Shots",A1:CV300,36,FALSE)=0,0,HLOOKUP("S6YD",A1:CV300,36,FALSE)/HLOOKUP("Shots",A1:CV300,36,FALSE))</f>
      </c>
      <c r="S36" t="n" s="7429">
        <v>5.0</v>
      </c>
      <c r="T36" s="7430">
        <f>IF(HLOOKUP("Shots",A1:CV300,36,FALSE)=0,0,HLOOKUP("Headers",A1:CV300,36,FALSE)/HLOOKUP("Shots",A1:CV300,36,FALSE))</f>
      </c>
      <c r="U36" t="n" s="7431">
        <v>2.0</v>
      </c>
      <c r="V36" s="7432">
        <f>IF(HLOOKUP("Shots",A1:CV300,36,FALSE)=0,0,HLOOKUP("SOT",A1:CV300,36,FALSE)/HLOOKUP("Shots",A1:CV300,36,FALSE))</f>
      </c>
      <c r="W36" s="7433">
        <f>IF(HLOOKUP("Shots",A1:CV300,36,FALSE)=0,0,HLOOKUP("Gs",A1:CV300,36,FALSE)/HLOOKUP("Shots",A1:CV300,36,FALSE))</f>
      </c>
      <c r="X36" t="n" s="7434">
        <v>1.0</v>
      </c>
      <c r="Y36" t="n" s="7435">
        <v>1.0</v>
      </c>
      <c r="Z36" t="n" s="7436">
        <v>1.0</v>
      </c>
      <c r="AA36" s="7437">
        <f>IF(HLOOKUP("KP",A1:CV300,36,FALSE)=0,0,HLOOKUP("As",A1:CV300,36,FALSE)/HLOOKUP("KP",A1:CV300,36,FALSE))</f>
      </c>
      <c r="AB36" t="n" s="7438">
        <v>26.4</v>
      </c>
      <c r="AC36" t="n" s="7439">
        <v>33.0</v>
      </c>
      <c r="AD36" t="n" s="7440">
        <v>0.0</v>
      </c>
      <c r="AE36" t="n" s="7441">
        <v>0.0</v>
      </c>
      <c r="AF36" t="n" s="7442">
        <v>0.0</v>
      </c>
      <c r="AG36" s="7443">
        <f>IF(HLOOKUP("BC",A1:CV300,36,FALSE)=0,0,HLOOKUP("Gs - BC",A1:CV300,36,FALSE)/HLOOKUP("BC",A1:CV300,36,FALSE))</f>
      </c>
      <c r="AH36" s="7444">
        <f>HLOOKUP("BC",A1:CV300,36,FALSE) - HLOOKUP("BC Miss",A1:CV300,36,FALSE)</f>
      </c>
      <c r="AI36" s="7445">
        <f>IF(HLOOKUP("Gs",A1:CV300,36,FALSE)=0,0,HLOOKUP("Gs - BC",A1:CV300,36,FALSE)/HLOOKUP("Gs",A1:CV300,36,FALSE))</f>
      </c>
      <c r="AJ36" t="n" s="7446">
        <v>0.0</v>
      </c>
      <c r="AK36" t="n" s="7447">
        <v>0.0</v>
      </c>
      <c r="AL36" s="7448">
        <f>HLOOKUP("BC",A1:CV300,36,FALSE) - (HLOOKUP("PK Gs",A1:CV300,36,FALSE) + HLOOKUP("PK Miss",A1:CV300,36,FALSE))</f>
      </c>
      <c r="AM36" s="7449">
        <f>HLOOKUP("BC Miss",A1:CV300,36,FALSE) - HLOOKUP("PK Miss",A1:CV300,36,FALSE)</f>
      </c>
      <c r="AN36" s="7450">
        <f>IF(HLOOKUP("BC - Open",A1:CV300,36,FALSE)=0,0,HLOOKUP("BC - Open Miss",A1:CV300,36,FALSE)/HLOOKUP("BC - Open",A1:CV300,36,FALSE))</f>
      </c>
      <c r="AO36" t="n" s="7451">
        <v>1.0</v>
      </c>
      <c r="AP36" s="7452">
        <f>IF(HLOOKUP("Gs",A1:CV300,36,FALSE)=0,0,HLOOKUP("GIB",A1:CV300,36,FALSE)/HLOOKUP("Gs",A1:CV300,36,FALSE))</f>
      </c>
      <c r="AQ36" t="n" s="7453">
        <v>0.0</v>
      </c>
      <c r="AR36" s="7454">
        <f>IF(HLOOKUP("Gs",A1:CV300,36,FALSE)=0,0,HLOOKUP("Gs - Open",A1:CV300,36,FALSE)/HLOOKUP("Gs",A1:CV300,36,FALSE))</f>
      </c>
      <c r="AS36" t="n" s="7455">
        <v>0.71</v>
      </c>
      <c r="AT36" t="n" s="7456">
        <v>0.03</v>
      </c>
      <c r="AU36" s="7457">
        <f>IF(HLOOKUP("Mins",A1:CV300,36,FALSE)=0,0,HLOOKUP("Pts",A1:CV300,36,FALSE)/HLOOKUP("Mins",A1:CV300,36,FALSE)* 90)</f>
      </c>
      <c r="AV36" s="7458">
        <f>IF(HLOOKUP("Apps",A1:CV300,36,FALSE)=0,0,HLOOKUP("Pts",A1:CV300,36,FALSE)/HLOOKUP("Apps",A1:CV300,36,FALSE)* 1)</f>
      </c>
      <c r="AW36" s="7459">
        <f>IF(HLOOKUP("Mins",A1:CV300,36,FALSE)=0,0,HLOOKUP("Gs",A1:CV300,36,FALSE)/HLOOKUP("Mins",A1:CV300,36,FALSE)* 90)</f>
      </c>
      <c r="AX36" s="7460">
        <f>IF(HLOOKUP("Mins",A1:CV300,36,FALSE)=0,0,HLOOKUP("Bonus",A1:CV300,36,FALSE)/HLOOKUP("Mins",A1:CV300,36,FALSE)* 90)</f>
      </c>
      <c r="AY36" s="7461">
        <f>IF(HLOOKUP("Mins",A1:CV300,36,FALSE)=0,0,HLOOKUP("BPS",A1:CV300,36,FALSE)/HLOOKUP("Mins",A1:CV300,36,FALSE)* 90)</f>
      </c>
      <c r="AZ36" s="7462">
        <f>IF(HLOOKUP("Mins",A1:CV300,36,FALSE)=0,0,HLOOKUP("Base BPS",A1:CV300,36,FALSE)/HLOOKUP("Mins",A1:CV300,36,FALSE)* 90)</f>
      </c>
      <c r="BA36" s="7463">
        <f>IF(HLOOKUP("Mins",A1:CV300,36,FALSE)=0,0,HLOOKUP("PenTchs",A1:CV300,36,FALSE)/HLOOKUP("Mins",A1:CV300,36,FALSE)* 90)</f>
      </c>
      <c r="BB36" s="7464">
        <f>IF(HLOOKUP("Mins",A1:CV300,36,FALSE)=0,0,HLOOKUP("Shots",A1:CV300,36,FALSE)/HLOOKUP("Mins",A1:CV300,36,FALSE)* 90)</f>
      </c>
      <c r="BC36" s="7465">
        <f>IF(HLOOKUP("Mins",A1:CV300,36,FALSE)=0,0,HLOOKUP("SIB",A1:CV300,36,FALSE)/HLOOKUP("Mins",A1:CV300,36,FALSE)* 90)</f>
      </c>
      <c r="BD36" s="7466">
        <f>IF(HLOOKUP("Mins",A1:CV300,36,FALSE)=0,0,HLOOKUP("S6YD",A1:CV300,36,FALSE)/HLOOKUP("Mins",A1:CV300,36,FALSE)* 90)</f>
      </c>
      <c r="BE36" s="7467">
        <f>IF(HLOOKUP("Mins",A1:CV300,36,FALSE)=0,0,HLOOKUP("Headers",A1:CV300,36,FALSE)/HLOOKUP("Mins",A1:CV300,36,FALSE)* 90)</f>
      </c>
      <c r="BF36" s="7468">
        <f>IF(HLOOKUP("Mins",A1:CV300,36,FALSE)=0,0,HLOOKUP("SOT",A1:CV300,36,FALSE)/HLOOKUP("Mins",A1:CV300,36,FALSE)* 90)</f>
      </c>
      <c r="BG36" s="7469">
        <f>IF(HLOOKUP("Mins",A1:CV300,36,FALSE)=0,0,HLOOKUP("As",A1:CV300,36,FALSE)/HLOOKUP("Mins",A1:CV300,36,FALSE)* 90)</f>
      </c>
      <c r="BH36" s="7470">
        <f>IF(HLOOKUP("Mins",A1:CV300,36,FALSE)=0,0,HLOOKUP("FPL As",A1:CV300,36,FALSE)/HLOOKUP("Mins",A1:CV300,36,FALSE)* 90)</f>
      </c>
      <c r="BI36" s="7471">
        <f>IF(HLOOKUP("Mins",A1:CV300,36,FALSE)=0,0,HLOOKUP("BC Created",A1:CV300,36,FALSE)/HLOOKUP("Mins",A1:CV300,36,FALSE)* 90)</f>
      </c>
      <c r="BJ36" s="7472">
        <f>IF(HLOOKUP("Mins",A1:CV300,36,FALSE)=0,0,HLOOKUP("KP",A1:CV300,36,FALSE)/HLOOKUP("Mins",A1:CV300,36,FALSE)* 90)</f>
      </c>
      <c r="BK36" s="7473">
        <f>IF(HLOOKUP("Mins",A1:CV300,36,FALSE)=0,0,HLOOKUP("BC",A1:CV300,36,FALSE)/HLOOKUP("Mins",A1:CV300,36,FALSE)* 90)</f>
      </c>
      <c r="BL36" s="7474">
        <f>IF(HLOOKUP("Mins",A1:CV300,36,FALSE)=0,0,HLOOKUP("BC Miss",A1:CV300,36,FALSE)/HLOOKUP("Mins",A1:CV300,36,FALSE)* 90)</f>
      </c>
      <c r="BM36" s="7475">
        <f>IF(HLOOKUP("Mins",A1:CV300,36,FALSE)=0,0,HLOOKUP("Gs - BC",A1:CV300,36,FALSE)/HLOOKUP("Mins",A1:CV300,36,FALSE)* 90)</f>
      </c>
      <c r="BN36" s="7476">
        <f>IF(HLOOKUP("Mins",A1:CV300,36,FALSE)=0,0,HLOOKUP("GIB",A1:CV300,36,FALSE)/HLOOKUP("Mins",A1:CV300,36,FALSE)* 90)</f>
      </c>
      <c r="BO36" s="7477">
        <f>IF(HLOOKUP("Mins",A1:CV300,36,FALSE)=0,0,HLOOKUP("Gs - Open",A1:CV300,36,FALSE)/HLOOKUP("Mins",A1:CV300,36,FALSE)* 90)</f>
      </c>
      <c r="BP36" s="7478">
        <f>IF(HLOOKUP("Mins",A1:CV300,36,FALSE)=0,0,HLOOKUP("ICT Index",A1:CV300,36,FALSE)/HLOOKUP("Mins",A1:CV300,36,FALSE)* 90)</f>
      </c>
      <c r="BQ36" s="7479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7480">
        <f>0.0825*HLOOKUP("KP/90",A1:CV300,36,FALSE)</f>
      </c>
      <c r="BS36" s="7481">
        <f>6*HLOOKUP("xG/90",A1:CV300,36,FALSE)+3*HLOOKUP("xA/90",A1:CV300,36,FALSE)</f>
      </c>
      <c r="BT36" s="7482">
        <f>HLOOKUP("xPts/90",A1:CV300,36,FALSE)-(6*0.75*(HLOOKUP("PK Gs",A1:CV300,36,FALSE)+HLOOKUP("PK Miss",A1:CV300,36,FALSE))*90/HLOOKUP("Mins",A1:CV300,36,FALSE))</f>
      </c>
      <c r="BU36" s="7483">
        <f>IF(HLOOKUP("Mins",A1:CV300,36,FALSE)=0,0,HLOOKUP("fsXG",A1:CV300,36,FALSE)/HLOOKUP("Mins",A1:CV300,36,FALSE)* 90)</f>
      </c>
      <c r="BV36" s="7484">
        <f>IF(HLOOKUP("Mins",A1:CV300,36,FALSE)=0,0,HLOOKUP("fsXA",A1:CV300,36,FALSE)/HLOOKUP("Mins",A1:CV300,36,FALSE)* 90)</f>
      </c>
      <c r="BW36" s="7485">
        <f>6*HLOOKUP("fsXG/90",A1:CV300,36,FALSE)+3*HLOOKUP("fsXA/90",A1:CV300,36,FALSE)</f>
      </c>
      <c r="BX36" t="n" s="7486">
        <v>0.04635878652334213</v>
      </c>
      <c r="BY36" t="n" s="7487">
        <v>0.01015377976000309</v>
      </c>
      <c r="BZ36" s="7488">
        <f>6*HLOOKUP("uXG/90",A1:CV300,36,FALSE)+3*HLOOKUP("uXA/90",A1:CV300,36,FALSE)</f>
      </c>
    </row>
    <row r="37">
      <c r="A37" t="s" s="7489">
        <v>193</v>
      </c>
      <c r="B37" t="s" s="7490">
        <v>112</v>
      </c>
      <c r="C37" t="n" s="7491">
        <v>4.5</v>
      </c>
      <c r="D37" t="n" s="7492">
        <v>360.0</v>
      </c>
      <c r="E37" t="n" s="7493">
        <v>4.0</v>
      </c>
      <c r="F37" t="n" s="7494">
        <v>59.0</v>
      </c>
      <c r="G37" t="n" s="7495">
        <v>0.0</v>
      </c>
      <c r="H37" t="n" s="7496">
        <v>0.0</v>
      </c>
      <c r="I37" t="n" s="7497">
        <v>284.0</v>
      </c>
      <c r="J37" s="7498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7499">
        <v>0.0</v>
      </c>
      <c r="L37" t="n" s="7500">
        <v>6.0</v>
      </c>
      <c r="M37" t="n" s="7501">
        <v>4.0</v>
      </c>
      <c r="N37" t="n" s="7502">
        <v>3.0</v>
      </c>
      <c r="O37" t="n" s="7503">
        <v>3.0</v>
      </c>
      <c r="P37" s="7504">
        <f>IF(HLOOKUP("Shots",A1:CV300,37,FALSE)=0,0,HLOOKUP("SIB",A1:CV300,37,FALSE)/HLOOKUP("Shots",A1:CV300,37,FALSE))</f>
      </c>
      <c r="Q37" t="n" s="7505">
        <v>0.0</v>
      </c>
      <c r="R37" s="7506">
        <f>IF(HLOOKUP("Shots",A1:CV300,37,FALSE)=0,0,HLOOKUP("S6YD",A1:CV300,37,FALSE)/HLOOKUP("Shots",A1:CV300,37,FALSE))</f>
      </c>
      <c r="S37" t="n" s="7507">
        <v>3.0</v>
      </c>
      <c r="T37" s="7508">
        <f>IF(HLOOKUP("Shots",A1:CV300,37,FALSE)=0,0,HLOOKUP("Headers",A1:CV300,37,FALSE)/HLOOKUP("Shots",A1:CV300,37,FALSE))</f>
      </c>
      <c r="U37" t="n" s="7509">
        <v>0.0</v>
      </c>
      <c r="V37" s="7510">
        <f>IF(HLOOKUP("Shots",A1:CV300,37,FALSE)=0,0,HLOOKUP("SOT",A1:CV300,37,FALSE)/HLOOKUP("Shots",A1:CV300,37,FALSE))</f>
      </c>
      <c r="W37" s="7511">
        <f>IF(HLOOKUP("Shots",A1:CV300,37,FALSE)=0,0,HLOOKUP("Gs",A1:CV300,37,FALSE)/HLOOKUP("Shots",A1:CV300,37,FALSE))</f>
      </c>
      <c r="X37" t="n" s="7512">
        <v>0.0</v>
      </c>
      <c r="Y37" t="n" s="7513">
        <v>0.0</v>
      </c>
      <c r="Z37" t="n" s="7514">
        <v>0.0</v>
      </c>
      <c r="AA37" s="7515">
        <f>IF(HLOOKUP("KP",A1:CV300,37,FALSE)=0,0,HLOOKUP("As",A1:CV300,37,FALSE)/HLOOKUP("KP",A1:CV300,37,FALSE))</f>
      </c>
      <c r="AB37" t="n" s="7516">
        <v>7.7</v>
      </c>
      <c r="AC37" t="n" s="7517">
        <v>0.0</v>
      </c>
      <c r="AD37" t="n" s="7518">
        <v>0.0</v>
      </c>
      <c r="AE37" t="n" s="7519">
        <v>0.0</v>
      </c>
      <c r="AF37" t="n" s="7520">
        <v>0.0</v>
      </c>
      <c r="AG37" s="7521">
        <f>IF(HLOOKUP("BC",A1:CV300,37,FALSE)=0,0,HLOOKUP("Gs - BC",A1:CV300,37,FALSE)/HLOOKUP("BC",A1:CV300,37,FALSE))</f>
      </c>
      <c r="AH37" s="7522">
        <f>HLOOKUP("BC",A1:CV300,37,FALSE) - HLOOKUP("BC Miss",A1:CV300,37,FALSE)</f>
      </c>
      <c r="AI37" s="7523">
        <f>IF(HLOOKUP("Gs",A1:CV300,37,FALSE)=0,0,HLOOKUP("Gs - BC",A1:CV300,37,FALSE)/HLOOKUP("Gs",A1:CV300,37,FALSE))</f>
      </c>
      <c r="AJ37" t="n" s="7524">
        <v>0.0</v>
      </c>
      <c r="AK37" t="n" s="7525">
        <v>0.0</v>
      </c>
      <c r="AL37" s="7526">
        <f>HLOOKUP("BC",A1:CV300,37,FALSE) - (HLOOKUP("PK Gs",A1:CV300,37,FALSE) + HLOOKUP("PK Miss",A1:CV300,37,FALSE))</f>
      </c>
      <c r="AM37" s="7527">
        <f>HLOOKUP("BC Miss",A1:CV300,37,FALSE) - HLOOKUP("PK Miss",A1:CV300,37,FALSE)</f>
      </c>
      <c r="AN37" s="7528">
        <f>IF(HLOOKUP("BC - Open",A1:CV300,37,FALSE)=0,0,HLOOKUP("BC - Open Miss",A1:CV300,37,FALSE)/HLOOKUP("BC - Open",A1:CV300,37,FALSE))</f>
      </c>
      <c r="AO37" t="n" s="7529">
        <v>0.0</v>
      </c>
      <c r="AP37" s="7530">
        <f>IF(HLOOKUP("Gs",A1:CV300,37,FALSE)=0,0,HLOOKUP("GIB",A1:CV300,37,FALSE)/HLOOKUP("Gs",A1:CV300,37,FALSE))</f>
      </c>
      <c r="AQ37" t="n" s="7531">
        <v>0.0</v>
      </c>
      <c r="AR37" s="7532">
        <f>IF(HLOOKUP("Gs",A1:CV300,37,FALSE)=0,0,HLOOKUP("Gs - Open",A1:CV300,37,FALSE)/HLOOKUP("Gs",A1:CV300,37,FALSE))</f>
      </c>
      <c r="AS37" t="n" s="7533">
        <v>0.21</v>
      </c>
      <c r="AT37" t="n" s="7534">
        <v>0.04</v>
      </c>
      <c r="AU37" s="7535">
        <f>IF(HLOOKUP("Mins",A1:CV300,37,FALSE)=0,0,HLOOKUP("Pts",A1:CV300,37,FALSE)/HLOOKUP("Mins",A1:CV300,37,FALSE)* 90)</f>
      </c>
      <c r="AV37" s="7536">
        <f>IF(HLOOKUP("Apps",A1:CV300,37,FALSE)=0,0,HLOOKUP("Pts",A1:CV300,37,FALSE)/HLOOKUP("Apps",A1:CV300,37,FALSE)* 1)</f>
      </c>
      <c r="AW37" s="7537">
        <f>IF(HLOOKUP("Mins",A1:CV300,37,FALSE)=0,0,HLOOKUP("Gs",A1:CV300,37,FALSE)/HLOOKUP("Mins",A1:CV300,37,FALSE)* 90)</f>
      </c>
      <c r="AX37" s="7538">
        <f>IF(HLOOKUP("Mins",A1:CV300,37,FALSE)=0,0,HLOOKUP("Bonus",A1:CV300,37,FALSE)/HLOOKUP("Mins",A1:CV300,37,FALSE)* 90)</f>
      </c>
      <c r="AY37" s="7539">
        <f>IF(HLOOKUP("Mins",A1:CV300,37,FALSE)=0,0,HLOOKUP("BPS",A1:CV300,37,FALSE)/HLOOKUP("Mins",A1:CV300,37,FALSE)* 90)</f>
      </c>
      <c r="AZ37" s="7540">
        <f>IF(HLOOKUP("Mins",A1:CV300,37,FALSE)=0,0,HLOOKUP("Base BPS",A1:CV300,37,FALSE)/HLOOKUP("Mins",A1:CV300,37,FALSE)* 90)</f>
      </c>
      <c r="BA37" s="7541">
        <f>IF(HLOOKUP("Mins",A1:CV300,37,FALSE)=0,0,HLOOKUP("PenTchs",A1:CV300,37,FALSE)/HLOOKUP("Mins",A1:CV300,37,FALSE)* 90)</f>
      </c>
      <c r="BB37" s="7542">
        <f>IF(HLOOKUP("Mins",A1:CV300,37,FALSE)=0,0,HLOOKUP("Shots",A1:CV300,37,FALSE)/HLOOKUP("Mins",A1:CV300,37,FALSE)* 90)</f>
      </c>
      <c r="BC37" s="7543">
        <f>IF(HLOOKUP("Mins",A1:CV300,37,FALSE)=0,0,HLOOKUP("SIB",A1:CV300,37,FALSE)/HLOOKUP("Mins",A1:CV300,37,FALSE)* 90)</f>
      </c>
      <c r="BD37" s="7544">
        <f>IF(HLOOKUP("Mins",A1:CV300,37,FALSE)=0,0,HLOOKUP("S6YD",A1:CV300,37,FALSE)/HLOOKUP("Mins",A1:CV300,37,FALSE)* 90)</f>
      </c>
      <c r="BE37" s="7545">
        <f>IF(HLOOKUP("Mins",A1:CV300,37,FALSE)=0,0,HLOOKUP("Headers",A1:CV300,37,FALSE)/HLOOKUP("Mins",A1:CV300,37,FALSE)* 90)</f>
      </c>
      <c r="BF37" s="7546">
        <f>IF(HLOOKUP("Mins",A1:CV300,37,FALSE)=0,0,HLOOKUP("SOT",A1:CV300,37,FALSE)/HLOOKUP("Mins",A1:CV300,37,FALSE)* 90)</f>
      </c>
      <c r="BG37" s="7547">
        <f>IF(HLOOKUP("Mins",A1:CV300,37,FALSE)=0,0,HLOOKUP("As",A1:CV300,37,FALSE)/HLOOKUP("Mins",A1:CV300,37,FALSE)* 90)</f>
      </c>
      <c r="BH37" s="7548">
        <f>IF(HLOOKUP("Mins",A1:CV300,37,FALSE)=0,0,HLOOKUP("FPL As",A1:CV300,37,FALSE)/HLOOKUP("Mins",A1:CV300,37,FALSE)* 90)</f>
      </c>
      <c r="BI37" s="7549">
        <f>IF(HLOOKUP("Mins",A1:CV300,37,FALSE)=0,0,HLOOKUP("BC Created",A1:CV300,37,FALSE)/HLOOKUP("Mins",A1:CV300,37,FALSE)* 90)</f>
      </c>
      <c r="BJ37" s="7550">
        <f>IF(HLOOKUP("Mins",A1:CV300,37,FALSE)=0,0,HLOOKUP("KP",A1:CV300,37,FALSE)/HLOOKUP("Mins",A1:CV300,37,FALSE)* 90)</f>
      </c>
      <c r="BK37" s="7551">
        <f>IF(HLOOKUP("Mins",A1:CV300,37,FALSE)=0,0,HLOOKUP("BC",A1:CV300,37,FALSE)/HLOOKUP("Mins",A1:CV300,37,FALSE)* 90)</f>
      </c>
      <c r="BL37" s="7552">
        <f>IF(HLOOKUP("Mins",A1:CV300,37,FALSE)=0,0,HLOOKUP("BC Miss",A1:CV300,37,FALSE)/HLOOKUP("Mins",A1:CV300,37,FALSE)* 90)</f>
      </c>
      <c r="BM37" s="7553">
        <f>IF(HLOOKUP("Mins",A1:CV300,37,FALSE)=0,0,HLOOKUP("Gs - BC",A1:CV300,37,FALSE)/HLOOKUP("Mins",A1:CV300,37,FALSE)* 90)</f>
      </c>
      <c r="BN37" s="7554">
        <f>IF(HLOOKUP("Mins",A1:CV300,37,FALSE)=0,0,HLOOKUP("GIB",A1:CV300,37,FALSE)/HLOOKUP("Mins",A1:CV300,37,FALSE)* 90)</f>
      </c>
      <c r="BO37" s="7555">
        <f>IF(HLOOKUP("Mins",A1:CV300,37,FALSE)=0,0,HLOOKUP("Gs - Open",A1:CV300,37,FALSE)/HLOOKUP("Mins",A1:CV300,37,FALSE)* 90)</f>
      </c>
      <c r="BP37" s="7556">
        <f>IF(HLOOKUP("Mins",A1:CV300,37,FALSE)=0,0,HLOOKUP("ICT Index",A1:CV300,37,FALSE)/HLOOKUP("Mins",A1:CV300,37,FALSE)* 90)</f>
      </c>
      <c r="BQ37" s="7557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7558">
        <f>0.0825*HLOOKUP("KP/90",A1:CV300,37,FALSE)</f>
      </c>
      <c r="BS37" s="7559">
        <f>6*HLOOKUP("xG/90",A1:CV300,37,FALSE)+3*HLOOKUP("xA/90",A1:CV300,37,FALSE)</f>
      </c>
      <c r="BT37" s="7560">
        <f>HLOOKUP("xPts/90",A1:CV300,37,FALSE)-(6*0.75*(HLOOKUP("PK Gs",A1:CV300,37,FALSE)+HLOOKUP("PK Miss",A1:CV300,37,FALSE))*90/HLOOKUP("Mins",A1:CV300,37,FALSE))</f>
      </c>
      <c r="BU37" s="7561">
        <f>IF(HLOOKUP("Mins",A1:CV300,37,FALSE)=0,0,HLOOKUP("fsXG",A1:CV300,37,FALSE)/HLOOKUP("Mins",A1:CV300,37,FALSE)* 90)</f>
      </c>
      <c r="BV37" s="7562">
        <f>IF(HLOOKUP("Mins",A1:CV300,37,FALSE)=0,0,HLOOKUP("fsXA",A1:CV300,37,FALSE)/HLOOKUP("Mins",A1:CV300,37,FALSE)* 90)</f>
      </c>
      <c r="BW37" s="7563">
        <f>6*HLOOKUP("fsXG/90",A1:CV300,37,FALSE)+3*HLOOKUP("fsXA/90",A1:CV300,37,FALSE)</f>
      </c>
      <c r="BX37" t="n" s="7564">
        <v>0.044510629028081894</v>
      </c>
      <c r="BY37" t="n" s="7565">
        <v>0.0</v>
      </c>
      <c r="BZ37" s="7566">
        <f>6*HLOOKUP("uXG/90",A1:CV300,37,FALSE)+3*HLOOKUP("uXA/90",A1:CV300,37,FALSE)</f>
      </c>
    </row>
    <row r="38">
      <c r="A38" t="s" s="7567">
        <v>194</v>
      </c>
      <c r="B38" t="s" s="7568">
        <v>100</v>
      </c>
      <c r="C38" t="n" s="7569">
        <v>5.0</v>
      </c>
      <c r="D38" t="n" s="7570">
        <v>540.0</v>
      </c>
      <c r="E38" t="n" s="7571">
        <v>6.0</v>
      </c>
      <c r="F38" t="n" s="7572">
        <v>53.0</v>
      </c>
      <c r="G38" t="n" s="7573">
        <v>0.0</v>
      </c>
      <c r="H38" t="n" s="7574">
        <v>2.0</v>
      </c>
      <c r="I38" t="n" s="7575">
        <v>352.0</v>
      </c>
      <c r="J38" s="7576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7577">
        <v>0.0</v>
      </c>
      <c r="L38" t="n" s="7578">
        <v>4.0</v>
      </c>
      <c r="M38" t="n" s="7579">
        <v>0.0</v>
      </c>
      <c r="N38" t="n" s="7580">
        <v>0.0</v>
      </c>
      <c r="O38" t="n" s="7581">
        <v>0.0</v>
      </c>
      <c r="P38" s="7582">
        <f>IF(HLOOKUP("Shots",A1:CV300,38,FALSE)=0,0,HLOOKUP("SIB",A1:CV300,38,FALSE)/HLOOKUP("Shots",A1:CV300,38,FALSE))</f>
      </c>
      <c r="Q38" t="n" s="7583">
        <v>0.0</v>
      </c>
      <c r="R38" s="7584">
        <f>IF(HLOOKUP("Shots",A1:CV300,38,FALSE)=0,0,HLOOKUP("S6YD",A1:CV300,38,FALSE)/HLOOKUP("Shots",A1:CV300,38,FALSE))</f>
      </c>
      <c r="S38" t="n" s="7585">
        <v>0.0</v>
      </c>
      <c r="T38" s="7586">
        <f>IF(HLOOKUP("Shots",A1:CV300,38,FALSE)=0,0,HLOOKUP("Headers",A1:CV300,38,FALSE)/HLOOKUP("Shots",A1:CV300,38,FALSE))</f>
      </c>
      <c r="U38" t="n" s="7587">
        <v>0.0</v>
      </c>
      <c r="V38" s="7588">
        <f>IF(HLOOKUP("Shots",A1:CV300,38,FALSE)=0,0,HLOOKUP("SOT",A1:CV300,38,FALSE)/HLOOKUP("Shots",A1:CV300,38,FALSE))</f>
      </c>
      <c r="W38" s="7589">
        <f>IF(HLOOKUP("Shots",A1:CV300,38,FALSE)=0,0,HLOOKUP("Gs",A1:CV300,38,FALSE)/HLOOKUP("Shots",A1:CV300,38,FALSE))</f>
      </c>
      <c r="X38" t="n" s="7590">
        <v>0.0</v>
      </c>
      <c r="Y38" t="n" s="7591">
        <v>0.0</v>
      </c>
      <c r="Z38" t="n" s="7592">
        <v>2.0</v>
      </c>
      <c r="AA38" s="7593">
        <f>IF(HLOOKUP("KP",A1:CV300,38,FALSE)=0,0,HLOOKUP("As",A1:CV300,38,FALSE)/HLOOKUP("KP",A1:CV300,38,FALSE))</f>
      </c>
      <c r="AB38" t="n" s="7594">
        <v>11.7</v>
      </c>
      <c r="AC38" t="n" s="7595">
        <v>0.0</v>
      </c>
      <c r="AD38" t="n" s="7596">
        <v>1.0</v>
      </c>
      <c r="AE38" t="n" s="7597">
        <v>0.0</v>
      </c>
      <c r="AF38" t="n" s="7598">
        <v>0.0</v>
      </c>
      <c r="AG38" s="7599">
        <f>IF(HLOOKUP("BC",A1:CV300,38,FALSE)=0,0,HLOOKUP("Gs - BC",A1:CV300,38,FALSE)/HLOOKUP("BC",A1:CV300,38,FALSE))</f>
      </c>
      <c r="AH38" s="7600">
        <f>HLOOKUP("BC",A1:CV300,38,FALSE) - HLOOKUP("BC Miss",A1:CV300,38,FALSE)</f>
      </c>
      <c r="AI38" s="7601">
        <f>IF(HLOOKUP("Gs",A1:CV300,38,FALSE)=0,0,HLOOKUP("Gs - BC",A1:CV300,38,FALSE)/HLOOKUP("Gs",A1:CV300,38,FALSE))</f>
      </c>
      <c r="AJ38" t="n" s="7602">
        <v>0.0</v>
      </c>
      <c r="AK38" t="n" s="7603">
        <v>0.0</v>
      </c>
      <c r="AL38" s="7604">
        <f>HLOOKUP("BC",A1:CV300,38,FALSE) - (HLOOKUP("PK Gs",A1:CV300,38,FALSE) + HLOOKUP("PK Miss",A1:CV300,38,FALSE))</f>
      </c>
      <c r="AM38" s="7605">
        <f>HLOOKUP("BC Miss",A1:CV300,38,FALSE) - HLOOKUP("PK Miss",A1:CV300,38,FALSE)</f>
      </c>
      <c r="AN38" s="7606">
        <f>IF(HLOOKUP("BC - Open",A1:CV300,38,FALSE)=0,0,HLOOKUP("BC - Open Miss",A1:CV300,38,FALSE)/HLOOKUP("BC - Open",A1:CV300,38,FALSE))</f>
      </c>
      <c r="AO38" t="n" s="7607">
        <v>0.0</v>
      </c>
      <c r="AP38" s="7608">
        <f>IF(HLOOKUP("Gs",A1:CV300,38,FALSE)=0,0,HLOOKUP("GIB",A1:CV300,38,FALSE)/HLOOKUP("Gs",A1:CV300,38,FALSE))</f>
      </c>
      <c r="AQ38" t="n" s="7609">
        <v>0.0</v>
      </c>
      <c r="AR38" s="7610">
        <f>IF(HLOOKUP("Gs",A1:CV300,38,FALSE)=0,0,HLOOKUP("Gs - Open",A1:CV300,38,FALSE)/HLOOKUP("Gs",A1:CV300,38,FALSE))</f>
      </c>
      <c r="AS38" t="n" s="7611">
        <v>0.0</v>
      </c>
      <c r="AT38" t="n" s="7612">
        <v>0.43</v>
      </c>
      <c r="AU38" s="7613">
        <f>IF(HLOOKUP("Mins",A1:CV300,38,FALSE)=0,0,HLOOKUP("Pts",A1:CV300,38,FALSE)/HLOOKUP("Mins",A1:CV300,38,FALSE)* 90)</f>
      </c>
      <c r="AV38" s="7614">
        <f>IF(HLOOKUP("Apps",A1:CV300,38,FALSE)=0,0,HLOOKUP("Pts",A1:CV300,38,FALSE)/HLOOKUP("Apps",A1:CV300,38,FALSE)* 1)</f>
      </c>
      <c r="AW38" s="7615">
        <f>IF(HLOOKUP("Mins",A1:CV300,38,FALSE)=0,0,HLOOKUP("Gs",A1:CV300,38,FALSE)/HLOOKUP("Mins",A1:CV300,38,FALSE)* 90)</f>
      </c>
      <c r="AX38" s="7616">
        <f>IF(HLOOKUP("Mins",A1:CV300,38,FALSE)=0,0,HLOOKUP("Bonus",A1:CV300,38,FALSE)/HLOOKUP("Mins",A1:CV300,38,FALSE)* 90)</f>
      </c>
      <c r="AY38" s="7617">
        <f>IF(HLOOKUP("Mins",A1:CV300,38,FALSE)=0,0,HLOOKUP("BPS",A1:CV300,38,FALSE)/HLOOKUP("Mins",A1:CV300,38,FALSE)* 90)</f>
      </c>
      <c r="AZ38" s="7618">
        <f>IF(HLOOKUP("Mins",A1:CV300,38,FALSE)=0,0,HLOOKUP("Base BPS",A1:CV300,38,FALSE)/HLOOKUP("Mins",A1:CV300,38,FALSE)* 90)</f>
      </c>
      <c r="BA38" s="7619">
        <f>IF(HLOOKUP("Mins",A1:CV300,38,FALSE)=0,0,HLOOKUP("PenTchs",A1:CV300,38,FALSE)/HLOOKUP("Mins",A1:CV300,38,FALSE)* 90)</f>
      </c>
      <c r="BB38" s="7620">
        <f>IF(HLOOKUP("Mins",A1:CV300,38,FALSE)=0,0,HLOOKUP("Shots",A1:CV300,38,FALSE)/HLOOKUP("Mins",A1:CV300,38,FALSE)* 90)</f>
      </c>
      <c r="BC38" s="7621">
        <f>IF(HLOOKUP("Mins",A1:CV300,38,FALSE)=0,0,HLOOKUP("SIB",A1:CV300,38,FALSE)/HLOOKUP("Mins",A1:CV300,38,FALSE)* 90)</f>
      </c>
      <c r="BD38" s="7622">
        <f>IF(HLOOKUP("Mins",A1:CV300,38,FALSE)=0,0,HLOOKUP("S6YD",A1:CV300,38,FALSE)/HLOOKUP("Mins",A1:CV300,38,FALSE)* 90)</f>
      </c>
      <c r="BE38" s="7623">
        <f>IF(HLOOKUP("Mins",A1:CV300,38,FALSE)=0,0,HLOOKUP("Headers",A1:CV300,38,FALSE)/HLOOKUP("Mins",A1:CV300,38,FALSE)* 90)</f>
      </c>
      <c r="BF38" s="7624">
        <f>IF(HLOOKUP("Mins",A1:CV300,38,FALSE)=0,0,HLOOKUP("SOT",A1:CV300,38,FALSE)/HLOOKUP("Mins",A1:CV300,38,FALSE)* 90)</f>
      </c>
      <c r="BG38" s="7625">
        <f>IF(HLOOKUP("Mins",A1:CV300,38,FALSE)=0,0,HLOOKUP("As",A1:CV300,38,FALSE)/HLOOKUP("Mins",A1:CV300,38,FALSE)* 90)</f>
      </c>
      <c r="BH38" s="7626">
        <f>IF(HLOOKUP("Mins",A1:CV300,38,FALSE)=0,0,HLOOKUP("FPL As",A1:CV300,38,FALSE)/HLOOKUP("Mins",A1:CV300,38,FALSE)* 90)</f>
      </c>
      <c r="BI38" s="7627">
        <f>IF(HLOOKUP("Mins",A1:CV300,38,FALSE)=0,0,HLOOKUP("BC Created",A1:CV300,38,FALSE)/HLOOKUP("Mins",A1:CV300,38,FALSE)* 90)</f>
      </c>
      <c r="BJ38" s="7628">
        <f>IF(HLOOKUP("Mins",A1:CV300,38,FALSE)=0,0,HLOOKUP("KP",A1:CV300,38,FALSE)/HLOOKUP("Mins",A1:CV300,38,FALSE)* 90)</f>
      </c>
      <c r="BK38" s="7629">
        <f>IF(HLOOKUP("Mins",A1:CV300,38,FALSE)=0,0,HLOOKUP("BC",A1:CV300,38,FALSE)/HLOOKUP("Mins",A1:CV300,38,FALSE)* 90)</f>
      </c>
      <c r="BL38" s="7630">
        <f>IF(HLOOKUP("Mins",A1:CV300,38,FALSE)=0,0,HLOOKUP("BC Miss",A1:CV300,38,FALSE)/HLOOKUP("Mins",A1:CV300,38,FALSE)* 90)</f>
      </c>
      <c r="BM38" s="7631">
        <f>IF(HLOOKUP("Mins",A1:CV300,38,FALSE)=0,0,HLOOKUP("Gs - BC",A1:CV300,38,FALSE)/HLOOKUP("Mins",A1:CV300,38,FALSE)* 90)</f>
      </c>
      <c r="BN38" s="7632">
        <f>IF(HLOOKUP("Mins",A1:CV300,38,FALSE)=0,0,HLOOKUP("GIB",A1:CV300,38,FALSE)/HLOOKUP("Mins",A1:CV300,38,FALSE)* 90)</f>
      </c>
      <c r="BO38" s="7633">
        <f>IF(HLOOKUP("Mins",A1:CV300,38,FALSE)=0,0,HLOOKUP("Gs - Open",A1:CV300,38,FALSE)/HLOOKUP("Mins",A1:CV300,38,FALSE)* 90)</f>
      </c>
      <c r="BP38" s="7634">
        <f>IF(HLOOKUP("Mins",A1:CV300,38,FALSE)=0,0,HLOOKUP("ICT Index",A1:CV300,38,FALSE)/HLOOKUP("Mins",A1:CV300,38,FALSE)* 90)</f>
      </c>
      <c r="BQ38" s="7635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7636">
        <f>0.0825*HLOOKUP("KP/90",A1:CV300,38,FALSE)</f>
      </c>
      <c r="BS38" s="7637">
        <f>6*HLOOKUP("xG/90",A1:CV300,38,FALSE)+3*HLOOKUP("xA/90",A1:CV300,38,FALSE)</f>
      </c>
      <c r="BT38" s="7638">
        <f>HLOOKUP("xPts/90",A1:CV300,38,FALSE)-(6*0.75*(HLOOKUP("PK Gs",A1:CV300,38,FALSE)+HLOOKUP("PK Miss",A1:CV300,38,FALSE))*90/HLOOKUP("Mins",A1:CV300,38,FALSE))</f>
      </c>
      <c r="BU38" s="7639">
        <f>IF(HLOOKUP("Mins",A1:CV300,38,FALSE)=0,0,HLOOKUP("fsXG",A1:CV300,38,FALSE)/HLOOKUP("Mins",A1:CV300,38,FALSE)* 90)</f>
      </c>
      <c r="BV38" s="7640">
        <f>IF(HLOOKUP("Mins",A1:CV300,38,FALSE)=0,0,HLOOKUP("fsXA",A1:CV300,38,FALSE)/HLOOKUP("Mins",A1:CV300,38,FALSE)* 90)</f>
      </c>
      <c r="BW38" s="7641">
        <f>6*HLOOKUP("fsXG/90",A1:CV300,38,FALSE)+3*HLOOKUP("fsXA/90",A1:CV300,38,FALSE)</f>
      </c>
      <c r="BX38" t="n" s="7642">
        <v>0.0</v>
      </c>
      <c r="BY38" t="n" s="7643">
        <v>0.06400274485349655</v>
      </c>
      <c r="BZ38" s="7644">
        <f>6*HLOOKUP("uXG/90",A1:CV300,38,FALSE)+3*HLOOKUP("uXA/90",A1:CV300,38,FALSE)</f>
      </c>
    </row>
    <row r="39">
      <c r="A39" t="s" s="7645">
        <v>195</v>
      </c>
      <c r="B39" t="s" s="7646">
        <v>144</v>
      </c>
      <c r="C39" t="n" s="7647">
        <v>5.300000190734863</v>
      </c>
      <c r="D39" t="n" s="7648">
        <v>540.0</v>
      </c>
      <c r="E39" t="n" s="7649">
        <v>6.0</v>
      </c>
      <c r="F39" t="n" s="7650">
        <v>57.0</v>
      </c>
      <c r="G39" t="n" s="7651">
        <v>0.0</v>
      </c>
      <c r="H39" t="n" s="7652">
        <v>4.0</v>
      </c>
      <c r="I39" t="n" s="7653">
        <v>330.0</v>
      </c>
      <c r="J39" s="7654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7655">
        <v>1.0</v>
      </c>
      <c r="L39" t="n" s="7656">
        <v>4.0</v>
      </c>
      <c r="M39" t="n" s="7657">
        <v>3.0</v>
      </c>
      <c r="N39" t="n" s="7658">
        <v>2.0</v>
      </c>
      <c r="O39" t="n" s="7659">
        <v>2.0</v>
      </c>
      <c r="P39" s="7660">
        <f>IF(HLOOKUP("Shots",A1:CV300,39,FALSE)=0,0,HLOOKUP("SIB",A1:CV300,39,FALSE)/HLOOKUP("Shots",A1:CV300,39,FALSE))</f>
      </c>
      <c r="Q39" t="n" s="7661">
        <v>0.0</v>
      </c>
      <c r="R39" s="7662">
        <f>IF(HLOOKUP("Shots",A1:CV300,39,FALSE)=0,0,HLOOKUP("S6YD",A1:CV300,39,FALSE)/HLOOKUP("Shots",A1:CV300,39,FALSE))</f>
      </c>
      <c r="S39" t="n" s="7663">
        <v>0.0</v>
      </c>
      <c r="T39" s="7664">
        <f>IF(HLOOKUP("Shots",A1:CV300,39,FALSE)=0,0,HLOOKUP("Headers",A1:CV300,39,FALSE)/HLOOKUP("Shots",A1:CV300,39,FALSE))</f>
      </c>
      <c r="U39" t="n" s="7665">
        <v>0.0</v>
      </c>
      <c r="V39" s="7666">
        <f>IF(HLOOKUP("Shots",A1:CV300,39,FALSE)=0,0,HLOOKUP("SOT",A1:CV300,39,FALSE)/HLOOKUP("Shots",A1:CV300,39,FALSE))</f>
      </c>
      <c r="W39" s="7667">
        <f>IF(HLOOKUP("Shots",A1:CV300,39,FALSE)=0,0,HLOOKUP("Gs",A1:CV300,39,FALSE)/HLOOKUP("Shots",A1:CV300,39,FALSE))</f>
      </c>
      <c r="X39" t="n" s="7668">
        <v>0.0</v>
      </c>
      <c r="Y39" t="n" s="7669">
        <v>0.0</v>
      </c>
      <c r="Z39" t="n" s="7670">
        <v>1.0</v>
      </c>
      <c r="AA39" s="7671">
        <f>IF(HLOOKUP("KP",A1:CV300,39,FALSE)=0,0,HLOOKUP("As",A1:CV300,39,FALSE)/HLOOKUP("KP",A1:CV300,39,FALSE))</f>
      </c>
      <c r="AB39" t="n" s="7672">
        <v>9.4</v>
      </c>
      <c r="AC39" t="n" s="7673">
        <v>0.0</v>
      </c>
      <c r="AD39" t="n" s="7674">
        <v>0.0</v>
      </c>
      <c r="AE39" t="n" s="7675">
        <v>0.0</v>
      </c>
      <c r="AF39" t="n" s="7676">
        <v>0.0</v>
      </c>
      <c r="AG39" s="7677">
        <f>IF(HLOOKUP("BC",A1:CV300,39,FALSE)=0,0,HLOOKUP("Gs - BC",A1:CV300,39,FALSE)/HLOOKUP("BC",A1:CV300,39,FALSE))</f>
      </c>
      <c r="AH39" s="7678">
        <f>HLOOKUP("BC",A1:CV300,39,FALSE) - HLOOKUP("BC Miss",A1:CV300,39,FALSE)</f>
      </c>
      <c r="AI39" s="7679">
        <f>IF(HLOOKUP("Gs",A1:CV300,39,FALSE)=0,0,HLOOKUP("Gs - BC",A1:CV300,39,FALSE)/HLOOKUP("Gs",A1:CV300,39,FALSE))</f>
      </c>
      <c r="AJ39" t="n" s="7680">
        <v>0.0</v>
      </c>
      <c r="AK39" t="n" s="7681">
        <v>0.0</v>
      </c>
      <c r="AL39" s="7682">
        <f>HLOOKUP("BC",A1:CV300,39,FALSE) - (HLOOKUP("PK Gs",A1:CV300,39,FALSE) + HLOOKUP("PK Miss",A1:CV300,39,FALSE))</f>
      </c>
      <c r="AM39" s="7683">
        <f>HLOOKUP("BC Miss",A1:CV300,39,FALSE) - HLOOKUP("PK Miss",A1:CV300,39,FALSE)</f>
      </c>
      <c r="AN39" s="7684">
        <f>IF(HLOOKUP("BC - Open",A1:CV300,39,FALSE)=0,0,HLOOKUP("BC - Open Miss",A1:CV300,39,FALSE)/HLOOKUP("BC - Open",A1:CV300,39,FALSE))</f>
      </c>
      <c r="AO39" t="n" s="7685">
        <v>0.0</v>
      </c>
      <c r="AP39" s="7686">
        <f>IF(HLOOKUP("Gs",A1:CV300,39,FALSE)=0,0,HLOOKUP("GIB",A1:CV300,39,FALSE)/HLOOKUP("Gs",A1:CV300,39,FALSE))</f>
      </c>
      <c r="AQ39" t="n" s="7687">
        <v>0.0</v>
      </c>
      <c r="AR39" s="7688">
        <f>IF(HLOOKUP("Gs",A1:CV300,39,FALSE)=0,0,HLOOKUP("Gs - Open",A1:CV300,39,FALSE)/HLOOKUP("Gs",A1:CV300,39,FALSE))</f>
      </c>
      <c r="AS39" t="n" s="7689">
        <v>0.08</v>
      </c>
      <c r="AT39" t="n" s="7690">
        <v>0.05</v>
      </c>
      <c r="AU39" s="7691">
        <f>IF(HLOOKUP("Mins",A1:CV300,39,FALSE)=0,0,HLOOKUP("Pts",A1:CV300,39,FALSE)/HLOOKUP("Mins",A1:CV300,39,FALSE)* 90)</f>
      </c>
      <c r="AV39" s="7692">
        <f>IF(HLOOKUP("Apps",A1:CV300,39,FALSE)=0,0,HLOOKUP("Pts",A1:CV300,39,FALSE)/HLOOKUP("Apps",A1:CV300,39,FALSE)* 1)</f>
      </c>
      <c r="AW39" s="7693">
        <f>IF(HLOOKUP("Mins",A1:CV300,39,FALSE)=0,0,HLOOKUP("Gs",A1:CV300,39,FALSE)/HLOOKUP("Mins",A1:CV300,39,FALSE)* 90)</f>
      </c>
      <c r="AX39" s="7694">
        <f>IF(HLOOKUP("Mins",A1:CV300,39,FALSE)=0,0,HLOOKUP("Bonus",A1:CV300,39,FALSE)/HLOOKUP("Mins",A1:CV300,39,FALSE)* 90)</f>
      </c>
      <c r="AY39" s="7695">
        <f>IF(HLOOKUP("Mins",A1:CV300,39,FALSE)=0,0,HLOOKUP("BPS",A1:CV300,39,FALSE)/HLOOKUP("Mins",A1:CV300,39,FALSE)* 90)</f>
      </c>
      <c r="AZ39" s="7696">
        <f>IF(HLOOKUP("Mins",A1:CV300,39,FALSE)=0,0,HLOOKUP("Base BPS",A1:CV300,39,FALSE)/HLOOKUP("Mins",A1:CV300,39,FALSE)* 90)</f>
      </c>
      <c r="BA39" s="7697">
        <f>IF(HLOOKUP("Mins",A1:CV300,39,FALSE)=0,0,HLOOKUP("PenTchs",A1:CV300,39,FALSE)/HLOOKUP("Mins",A1:CV300,39,FALSE)* 90)</f>
      </c>
      <c r="BB39" s="7698">
        <f>IF(HLOOKUP("Mins",A1:CV300,39,FALSE)=0,0,HLOOKUP("Shots",A1:CV300,39,FALSE)/HLOOKUP("Mins",A1:CV300,39,FALSE)* 90)</f>
      </c>
      <c r="BC39" s="7699">
        <f>IF(HLOOKUP("Mins",A1:CV300,39,FALSE)=0,0,HLOOKUP("SIB",A1:CV300,39,FALSE)/HLOOKUP("Mins",A1:CV300,39,FALSE)* 90)</f>
      </c>
      <c r="BD39" s="7700">
        <f>IF(HLOOKUP("Mins",A1:CV300,39,FALSE)=0,0,HLOOKUP("S6YD",A1:CV300,39,FALSE)/HLOOKUP("Mins",A1:CV300,39,FALSE)* 90)</f>
      </c>
      <c r="BE39" s="7701">
        <f>IF(HLOOKUP("Mins",A1:CV300,39,FALSE)=0,0,HLOOKUP("Headers",A1:CV300,39,FALSE)/HLOOKUP("Mins",A1:CV300,39,FALSE)* 90)</f>
      </c>
      <c r="BF39" s="7702">
        <f>IF(HLOOKUP("Mins",A1:CV300,39,FALSE)=0,0,HLOOKUP("SOT",A1:CV300,39,FALSE)/HLOOKUP("Mins",A1:CV300,39,FALSE)* 90)</f>
      </c>
      <c r="BG39" s="7703">
        <f>IF(HLOOKUP("Mins",A1:CV300,39,FALSE)=0,0,HLOOKUP("As",A1:CV300,39,FALSE)/HLOOKUP("Mins",A1:CV300,39,FALSE)* 90)</f>
      </c>
      <c r="BH39" s="7704">
        <f>IF(HLOOKUP("Mins",A1:CV300,39,FALSE)=0,0,HLOOKUP("FPL As",A1:CV300,39,FALSE)/HLOOKUP("Mins",A1:CV300,39,FALSE)* 90)</f>
      </c>
      <c r="BI39" s="7705">
        <f>IF(HLOOKUP("Mins",A1:CV300,39,FALSE)=0,0,HLOOKUP("BC Created",A1:CV300,39,FALSE)/HLOOKUP("Mins",A1:CV300,39,FALSE)* 90)</f>
      </c>
      <c r="BJ39" s="7706">
        <f>IF(HLOOKUP("Mins",A1:CV300,39,FALSE)=0,0,HLOOKUP("KP",A1:CV300,39,FALSE)/HLOOKUP("Mins",A1:CV300,39,FALSE)* 90)</f>
      </c>
      <c r="BK39" s="7707">
        <f>IF(HLOOKUP("Mins",A1:CV300,39,FALSE)=0,0,HLOOKUP("BC",A1:CV300,39,FALSE)/HLOOKUP("Mins",A1:CV300,39,FALSE)* 90)</f>
      </c>
      <c r="BL39" s="7708">
        <f>IF(HLOOKUP("Mins",A1:CV300,39,FALSE)=0,0,HLOOKUP("BC Miss",A1:CV300,39,FALSE)/HLOOKUP("Mins",A1:CV300,39,FALSE)* 90)</f>
      </c>
      <c r="BM39" s="7709">
        <f>IF(HLOOKUP("Mins",A1:CV300,39,FALSE)=0,0,HLOOKUP("Gs - BC",A1:CV300,39,FALSE)/HLOOKUP("Mins",A1:CV300,39,FALSE)* 90)</f>
      </c>
      <c r="BN39" s="7710">
        <f>IF(HLOOKUP("Mins",A1:CV300,39,FALSE)=0,0,HLOOKUP("GIB",A1:CV300,39,FALSE)/HLOOKUP("Mins",A1:CV300,39,FALSE)* 90)</f>
      </c>
      <c r="BO39" s="7711">
        <f>IF(HLOOKUP("Mins",A1:CV300,39,FALSE)=0,0,HLOOKUP("Gs - Open",A1:CV300,39,FALSE)/HLOOKUP("Mins",A1:CV300,39,FALSE)* 90)</f>
      </c>
      <c r="BP39" s="7712">
        <f>IF(HLOOKUP("Mins",A1:CV300,39,FALSE)=0,0,HLOOKUP("ICT Index",A1:CV300,39,FALSE)/HLOOKUP("Mins",A1:CV300,39,FALSE)* 90)</f>
      </c>
      <c r="BQ39" s="7713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7714">
        <f>0.0825*HLOOKUP("KP/90",A1:CV300,39,FALSE)</f>
      </c>
      <c r="BS39" s="7715">
        <f>6*HLOOKUP("xG/90",A1:CV300,39,FALSE)+3*HLOOKUP("xA/90",A1:CV300,39,FALSE)</f>
      </c>
      <c r="BT39" s="7716">
        <f>HLOOKUP("xPts/90",A1:CV300,39,FALSE)-(6*0.75*(HLOOKUP("PK Gs",A1:CV300,39,FALSE)+HLOOKUP("PK Miss",A1:CV300,39,FALSE))*90/HLOOKUP("Mins",A1:CV300,39,FALSE))</f>
      </c>
      <c r="BU39" s="7717">
        <f>IF(HLOOKUP("Mins",A1:CV300,39,FALSE)=0,0,HLOOKUP("fsXG",A1:CV300,39,FALSE)/HLOOKUP("Mins",A1:CV300,39,FALSE)* 90)</f>
      </c>
      <c r="BV39" s="7718">
        <f>IF(HLOOKUP("Mins",A1:CV300,39,FALSE)=0,0,HLOOKUP("fsXA",A1:CV300,39,FALSE)/HLOOKUP("Mins",A1:CV300,39,FALSE)* 90)</f>
      </c>
      <c r="BW39" s="7719">
        <f>6*HLOOKUP("fsXG/90",A1:CV300,39,FALSE)+3*HLOOKUP("fsXA/90",A1:CV300,39,FALSE)</f>
      </c>
      <c r="BX39" t="n" s="7720">
        <v>0.0142765948548913</v>
      </c>
      <c r="BY39" t="n" s="7721">
        <v>0.010826869867742062</v>
      </c>
      <c r="BZ39" s="7722">
        <f>6*HLOOKUP("uXG/90",A1:CV300,39,FALSE)+3*HLOOKUP("uXA/90",A1:CV300,39,FALSE)</f>
      </c>
    </row>
    <row r="40">
      <c r="A40" t="s" s="7723">
        <v>196</v>
      </c>
      <c r="B40" t="s" s="7724">
        <v>90</v>
      </c>
      <c r="C40" t="n" s="7725">
        <v>4.300000190734863</v>
      </c>
      <c r="D40" t="n" s="7726">
        <v>540.0</v>
      </c>
      <c r="E40" t="n" s="7727">
        <v>6.0</v>
      </c>
      <c r="F40" t="n" s="7728">
        <v>27.0</v>
      </c>
      <c r="G40" t="n" s="7729">
        <v>0.0</v>
      </c>
      <c r="H40" t="n" s="7730">
        <v>1.0</v>
      </c>
      <c r="I40" t="n" s="7731">
        <v>252.0</v>
      </c>
      <c r="J40" s="7732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7733">
        <v>0.0</v>
      </c>
      <c r="L40" t="n" s="7734">
        <v>2.0</v>
      </c>
      <c r="M40" t="n" s="7735">
        <v>5.0</v>
      </c>
      <c r="N40" t="n" s="7736">
        <v>2.0</v>
      </c>
      <c r="O40" t="n" s="7737">
        <v>1.0</v>
      </c>
      <c r="P40" s="7738">
        <f>IF(HLOOKUP("Shots",A1:CV300,40,FALSE)=0,0,HLOOKUP("SIB",A1:CV300,40,FALSE)/HLOOKUP("Shots",A1:CV300,40,FALSE))</f>
      </c>
      <c r="Q40" t="n" s="7739">
        <v>0.0</v>
      </c>
      <c r="R40" s="7740">
        <f>IF(HLOOKUP("Shots",A1:CV300,40,FALSE)=0,0,HLOOKUP("S6YD",A1:CV300,40,FALSE)/HLOOKUP("Shots",A1:CV300,40,FALSE))</f>
      </c>
      <c r="S40" t="n" s="7741">
        <v>0.0</v>
      </c>
      <c r="T40" s="7742">
        <f>IF(HLOOKUP("Shots",A1:CV300,40,FALSE)=0,0,HLOOKUP("Headers",A1:CV300,40,FALSE)/HLOOKUP("Shots",A1:CV300,40,FALSE))</f>
      </c>
      <c r="U40" t="n" s="7743">
        <v>0.0</v>
      </c>
      <c r="V40" s="7744">
        <f>IF(HLOOKUP("Shots",A1:CV300,40,FALSE)=0,0,HLOOKUP("SOT",A1:CV300,40,FALSE)/HLOOKUP("Shots",A1:CV300,40,FALSE))</f>
      </c>
      <c r="W40" s="7745">
        <f>IF(HLOOKUP("Shots",A1:CV300,40,FALSE)=0,0,HLOOKUP("Gs",A1:CV300,40,FALSE)/HLOOKUP("Shots",A1:CV300,40,FALSE))</f>
      </c>
      <c r="X40" t="n" s="7746">
        <v>0.0</v>
      </c>
      <c r="Y40" t="n" s="7747">
        <v>0.0</v>
      </c>
      <c r="Z40" t="n" s="7748">
        <v>6.0</v>
      </c>
      <c r="AA40" s="7749">
        <f>IF(HLOOKUP("KP",A1:CV300,40,FALSE)=0,0,HLOOKUP("As",A1:CV300,40,FALSE)/HLOOKUP("KP",A1:CV300,40,FALSE))</f>
      </c>
      <c r="AB40" t="n" s="7750">
        <v>22.7</v>
      </c>
      <c r="AC40" t="n" s="7751">
        <v>0.0</v>
      </c>
      <c r="AD40" t="n" s="7752">
        <v>2.0</v>
      </c>
      <c r="AE40" t="n" s="7753">
        <v>0.0</v>
      </c>
      <c r="AF40" t="n" s="7754">
        <v>0.0</v>
      </c>
      <c r="AG40" s="7755">
        <f>IF(HLOOKUP("BC",A1:CV300,40,FALSE)=0,0,HLOOKUP("Gs - BC",A1:CV300,40,FALSE)/HLOOKUP("BC",A1:CV300,40,FALSE))</f>
      </c>
      <c r="AH40" s="7756">
        <f>HLOOKUP("BC",A1:CV300,40,FALSE) - HLOOKUP("BC Miss",A1:CV300,40,FALSE)</f>
      </c>
      <c r="AI40" s="7757">
        <f>IF(HLOOKUP("Gs",A1:CV300,40,FALSE)=0,0,HLOOKUP("Gs - BC",A1:CV300,40,FALSE)/HLOOKUP("Gs",A1:CV300,40,FALSE))</f>
      </c>
      <c r="AJ40" t="n" s="7758">
        <v>0.0</v>
      </c>
      <c r="AK40" t="n" s="7759">
        <v>0.0</v>
      </c>
      <c r="AL40" s="7760">
        <f>HLOOKUP("BC",A1:CV300,40,FALSE) - (HLOOKUP("PK Gs",A1:CV300,40,FALSE) + HLOOKUP("PK Miss",A1:CV300,40,FALSE))</f>
      </c>
      <c r="AM40" s="7761">
        <f>HLOOKUP("BC Miss",A1:CV300,40,FALSE) - HLOOKUP("PK Miss",A1:CV300,40,FALSE)</f>
      </c>
      <c r="AN40" s="7762">
        <f>IF(HLOOKUP("BC - Open",A1:CV300,40,FALSE)=0,0,HLOOKUP("BC - Open Miss",A1:CV300,40,FALSE)/HLOOKUP("BC - Open",A1:CV300,40,FALSE))</f>
      </c>
      <c r="AO40" t="n" s="7763">
        <v>0.0</v>
      </c>
      <c r="AP40" s="7764">
        <f>IF(HLOOKUP("Gs",A1:CV300,40,FALSE)=0,0,HLOOKUP("GIB",A1:CV300,40,FALSE)/HLOOKUP("Gs",A1:CV300,40,FALSE))</f>
      </c>
      <c r="AQ40" t="n" s="7765">
        <v>0.0</v>
      </c>
      <c r="AR40" s="7766">
        <f>IF(HLOOKUP("Gs",A1:CV300,40,FALSE)=0,0,HLOOKUP("Gs - Open",A1:CV300,40,FALSE)/HLOOKUP("Gs",A1:CV300,40,FALSE))</f>
      </c>
      <c r="AS40" t="n" s="7767">
        <v>0.08</v>
      </c>
      <c r="AT40" t="n" s="7768">
        <v>0.88</v>
      </c>
      <c r="AU40" s="7769">
        <f>IF(HLOOKUP("Mins",A1:CV300,40,FALSE)=0,0,HLOOKUP("Pts",A1:CV300,40,FALSE)/HLOOKUP("Mins",A1:CV300,40,FALSE)* 90)</f>
      </c>
      <c r="AV40" s="7770">
        <f>IF(HLOOKUP("Apps",A1:CV300,40,FALSE)=0,0,HLOOKUP("Pts",A1:CV300,40,FALSE)/HLOOKUP("Apps",A1:CV300,40,FALSE)* 1)</f>
      </c>
      <c r="AW40" s="7771">
        <f>IF(HLOOKUP("Mins",A1:CV300,40,FALSE)=0,0,HLOOKUP("Gs",A1:CV300,40,FALSE)/HLOOKUP("Mins",A1:CV300,40,FALSE)* 90)</f>
      </c>
      <c r="AX40" s="7772">
        <f>IF(HLOOKUP("Mins",A1:CV300,40,FALSE)=0,0,HLOOKUP("Bonus",A1:CV300,40,FALSE)/HLOOKUP("Mins",A1:CV300,40,FALSE)* 90)</f>
      </c>
      <c r="AY40" s="7773">
        <f>IF(HLOOKUP("Mins",A1:CV300,40,FALSE)=0,0,HLOOKUP("BPS",A1:CV300,40,FALSE)/HLOOKUP("Mins",A1:CV300,40,FALSE)* 90)</f>
      </c>
      <c r="AZ40" s="7774">
        <f>IF(HLOOKUP("Mins",A1:CV300,40,FALSE)=0,0,HLOOKUP("Base BPS",A1:CV300,40,FALSE)/HLOOKUP("Mins",A1:CV300,40,FALSE)* 90)</f>
      </c>
      <c r="BA40" s="7775">
        <f>IF(HLOOKUP("Mins",A1:CV300,40,FALSE)=0,0,HLOOKUP("PenTchs",A1:CV300,40,FALSE)/HLOOKUP("Mins",A1:CV300,40,FALSE)* 90)</f>
      </c>
      <c r="BB40" s="7776">
        <f>IF(HLOOKUP("Mins",A1:CV300,40,FALSE)=0,0,HLOOKUP("Shots",A1:CV300,40,FALSE)/HLOOKUP("Mins",A1:CV300,40,FALSE)* 90)</f>
      </c>
      <c r="BC40" s="7777">
        <f>IF(HLOOKUP("Mins",A1:CV300,40,FALSE)=0,0,HLOOKUP("SIB",A1:CV300,40,FALSE)/HLOOKUP("Mins",A1:CV300,40,FALSE)* 90)</f>
      </c>
      <c r="BD40" s="7778">
        <f>IF(HLOOKUP("Mins",A1:CV300,40,FALSE)=0,0,HLOOKUP("S6YD",A1:CV300,40,FALSE)/HLOOKUP("Mins",A1:CV300,40,FALSE)* 90)</f>
      </c>
      <c r="BE40" s="7779">
        <f>IF(HLOOKUP("Mins",A1:CV300,40,FALSE)=0,0,HLOOKUP("Headers",A1:CV300,40,FALSE)/HLOOKUP("Mins",A1:CV300,40,FALSE)* 90)</f>
      </c>
      <c r="BF40" s="7780">
        <f>IF(HLOOKUP("Mins",A1:CV300,40,FALSE)=0,0,HLOOKUP("SOT",A1:CV300,40,FALSE)/HLOOKUP("Mins",A1:CV300,40,FALSE)* 90)</f>
      </c>
      <c r="BG40" s="7781">
        <f>IF(HLOOKUP("Mins",A1:CV300,40,FALSE)=0,0,HLOOKUP("As",A1:CV300,40,FALSE)/HLOOKUP("Mins",A1:CV300,40,FALSE)* 90)</f>
      </c>
      <c r="BH40" s="7782">
        <f>IF(HLOOKUP("Mins",A1:CV300,40,FALSE)=0,0,HLOOKUP("FPL As",A1:CV300,40,FALSE)/HLOOKUP("Mins",A1:CV300,40,FALSE)* 90)</f>
      </c>
      <c r="BI40" s="7783">
        <f>IF(HLOOKUP("Mins",A1:CV300,40,FALSE)=0,0,HLOOKUP("BC Created",A1:CV300,40,FALSE)/HLOOKUP("Mins",A1:CV300,40,FALSE)* 90)</f>
      </c>
      <c r="BJ40" s="7784">
        <f>IF(HLOOKUP("Mins",A1:CV300,40,FALSE)=0,0,HLOOKUP("KP",A1:CV300,40,FALSE)/HLOOKUP("Mins",A1:CV300,40,FALSE)* 90)</f>
      </c>
      <c r="BK40" s="7785">
        <f>IF(HLOOKUP("Mins",A1:CV300,40,FALSE)=0,0,HLOOKUP("BC",A1:CV300,40,FALSE)/HLOOKUP("Mins",A1:CV300,40,FALSE)* 90)</f>
      </c>
      <c r="BL40" s="7786">
        <f>IF(HLOOKUP("Mins",A1:CV300,40,FALSE)=0,0,HLOOKUP("BC Miss",A1:CV300,40,FALSE)/HLOOKUP("Mins",A1:CV300,40,FALSE)* 90)</f>
      </c>
      <c r="BM40" s="7787">
        <f>IF(HLOOKUP("Mins",A1:CV300,40,FALSE)=0,0,HLOOKUP("Gs - BC",A1:CV300,40,FALSE)/HLOOKUP("Mins",A1:CV300,40,FALSE)* 90)</f>
      </c>
      <c r="BN40" s="7788">
        <f>IF(HLOOKUP("Mins",A1:CV300,40,FALSE)=0,0,HLOOKUP("GIB",A1:CV300,40,FALSE)/HLOOKUP("Mins",A1:CV300,40,FALSE)* 90)</f>
      </c>
      <c r="BO40" s="7789">
        <f>IF(HLOOKUP("Mins",A1:CV300,40,FALSE)=0,0,HLOOKUP("Gs - Open",A1:CV300,40,FALSE)/HLOOKUP("Mins",A1:CV300,40,FALSE)* 90)</f>
      </c>
      <c r="BP40" s="7790">
        <f>IF(HLOOKUP("Mins",A1:CV300,40,FALSE)=0,0,HLOOKUP("ICT Index",A1:CV300,40,FALSE)/HLOOKUP("Mins",A1:CV300,40,FALSE)* 90)</f>
      </c>
      <c r="BQ40" s="7791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7792">
        <f>0.0825*HLOOKUP("KP/90",A1:CV300,40,FALSE)</f>
      </c>
      <c r="BS40" s="7793">
        <f>6*HLOOKUP("xG/90",A1:CV300,40,FALSE)+3*HLOOKUP("xA/90",A1:CV300,40,FALSE)</f>
      </c>
      <c r="BT40" s="7794">
        <f>HLOOKUP("xPts/90",A1:CV300,40,FALSE)-(6*0.75*(HLOOKUP("PK Gs",A1:CV300,40,FALSE)+HLOOKUP("PK Miss",A1:CV300,40,FALSE))*90/HLOOKUP("Mins",A1:CV300,40,FALSE))</f>
      </c>
      <c r="BU40" s="7795">
        <f>IF(HLOOKUP("Mins",A1:CV300,40,FALSE)=0,0,HLOOKUP("fsXG",A1:CV300,40,FALSE)/HLOOKUP("Mins",A1:CV300,40,FALSE)* 90)</f>
      </c>
      <c r="BV40" s="7796">
        <f>IF(HLOOKUP("Mins",A1:CV300,40,FALSE)=0,0,HLOOKUP("fsXA",A1:CV300,40,FALSE)/HLOOKUP("Mins",A1:CV300,40,FALSE)* 90)</f>
      </c>
      <c r="BW40" s="7797">
        <f>6*HLOOKUP("fsXG/90",A1:CV300,40,FALSE)+3*HLOOKUP("fsXA/90",A1:CV300,40,FALSE)</f>
      </c>
      <c r="BX40" t="n" s="7798">
        <v>0.013807044364511967</v>
      </c>
      <c r="BY40" t="n" s="7799">
        <v>0.20216527581214905</v>
      </c>
      <c r="BZ40" s="7800">
        <f>6*HLOOKUP("uXG/90",A1:CV300,40,FALSE)+3*HLOOKUP("uXA/90",A1:CV300,40,FALSE)</f>
      </c>
    </row>
    <row r="41">
      <c r="A41" t="s" s="7801">
        <v>197</v>
      </c>
      <c r="B41" t="s" s="7802">
        <v>147</v>
      </c>
      <c r="C41" t="n" s="7803">
        <v>5.5</v>
      </c>
      <c r="D41" t="n" s="7804">
        <v>214.0</v>
      </c>
      <c r="E41" t="n" s="7805">
        <v>3.0</v>
      </c>
      <c r="F41" t="n" s="7806">
        <v>18.0</v>
      </c>
      <c r="G41" t="n" s="7807">
        <v>0.0</v>
      </c>
      <c r="H41" t="n" s="7808">
        <v>0.0</v>
      </c>
      <c r="I41" t="n" s="7809">
        <v>167.0</v>
      </c>
      <c r="J41" s="7810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7811">
        <v>0.0</v>
      </c>
      <c r="L41" t="n" s="7812">
        <v>1.0</v>
      </c>
      <c r="M41" t="n" s="7813">
        <v>6.0</v>
      </c>
      <c r="N41" t="n" s="7814">
        <v>2.0</v>
      </c>
      <c r="O41" t="n" s="7815">
        <v>2.0</v>
      </c>
      <c r="P41" s="7816">
        <f>IF(HLOOKUP("Shots",A1:CV300,41,FALSE)=0,0,HLOOKUP("SIB",A1:CV300,41,FALSE)/HLOOKUP("Shots",A1:CV300,41,FALSE))</f>
      </c>
      <c r="Q41" t="n" s="7817">
        <v>1.0</v>
      </c>
      <c r="R41" s="7818">
        <f>IF(HLOOKUP("Shots",A1:CV300,41,FALSE)=0,0,HLOOKUP("S6YD",A1:CV300,41,FALSE)/HLOOKUP("Shots",A1:CV300,41,FALSE))</f>
      </c>
      <c r="S41" t="n" s="7819">
        <v>1.0</v>
      </c>
      <c r="T41" s="7820">
        <f>IF(HLOOKUP("Shots",A1:CV300,41,FALSE)=0,0,HLOOKUP("Headers",A1:CV300,41,FALSE)/HLOOKUP("Shots",A1:CV300,41,FALSE))</f>
      </c>
      <c r="U41" t="n" s="7821">
        <v>2.0</v>
      </c>
      <c r="V41" s="7822">
        <f>IF(HLOOKUP("Shots",A1:CV300,41,FALSE)=0,0,HLOOKUP("SOT",A1:CV300,41,FALSE)/HLOOKUP("Shots",A1:CV300,41,FALSE))</f>
      </c>
      <c r="W41" s="7823">
        <f>IF(HLOOKUP("Shots",A1:CV300,41,FALSE)=0,0,HLOOKUP("Gs",A1:CV300,41,FALSE)/HLOOKUP("Shots",A1:CV300,41,FALSE))</f>
      </c>
      <c r="X41" t="n" s="7824">
        <v>0.0</v>
      </c>
      <c r="Y41" t="n" s="7825">
        <v>0.0</v>
      </c>
      <c r="Z41" t="n" s="7826">
        <v>2.0</v>
      </c>
      <c r="AA41" s="7827">
        <f>IF(HLOOKUP("KP",A1:CV300,41,FALSE)=0,0,HLOOKUP("As",A1:CV300,41,FALSE)/HLOOKUP("KP",A1:CV300,41,FALSE))</f>
      </c>
      <c r="AB41" t="n" s="7828">
        <v>13.4</v>
      </c>
      <c r="AC41" t="n" s="7829">
        <v>0.0</v>
      </c>
      <c r="AD41" t="n" s="7830">
        <v>0.0</v>
      </c>
      <c r="AE41" t="n" s="7831">
        <v>1.0</v>
      </c>
      <c r="AF41" t="n" s="7832">
        <v>1.0</v>
      </c>
      <c r="AG41" s="7833">
        <f>IF(HLOOKUP("BC",A1:CV300,41,FALSE)=0,0,HLOOKUP("Gs - BC",A1:CV300,41,FALSE)/HLOOKUP("BC",A1:CV300,41,FALSE))</f>
      </c>
      <c r="AH41" s="7834">
        <f>HLOOKUP("BC",A1:CV300,41,FALSE) - HLOOKUP("BC Miss",A1:CV300,41,FALSE)</f>
      </c>
      <c r="AI41" s="7835">
        <f>IF(HLOOKUP("Gs",A1:CV300,41,FALSE)=0,0,HLOOKUP("Gs - BC",A1:CV300,41,FALSE)/HLOOKUP("Gs",A1:CV300,41,FALSE))</f>
      </c>
      <c r="AJ41" t="n" s="7836">
        <v>0.0</v>
      </c>
      <c r="AK41" t="n" s="7837">
        <v>0.0</v>
      </c>
      <c r="AL41" s="7838">
        <f>HLOOKUP("BC",A1:CV300,41,FALSE) - (HLOOKUP("PK Gs",A1:CV300,41,FALSE) + HLOOKUP("PK Miss",A1:CV300,41,FALSE))</f>
      </c>
      <c r="AM41" s="7839">
        <f>HLOOKUP("BC Miss",A1:CV300,41,FALSE) - HLOOKUP("PK Miss",A1:CV300,41,FALSE)</f>
      </c>
      <c r="AN41" s="7840">
        <f>IF(HLOOKUP("BC - Open",A1:CV300,41,FALSE)=0,0,HLOOKUP("BC - Open Miss",A1:CV300,41,FALSE)/HLOOKUP("BC - Open",A1:CV300,41,FALSE))</f>
      </c>
      <c r="AO41" t="n" s="7841">
        <v>0.0</v>
      </c>
      <c r="AP41" s="7842">
        <f>IF(HLOOKUP("Gs",A1:CV300,41,FALSE)=0,0,HLOOKUP("GIB",A1:CV300,41,FALSE)/HLOOKUP("Gs",A1:CV300,41,FALSE))</f>
      </c>
      <c r="AQ41" t="n" s="7843">
        <v>0.0</v>
      </c>
      <c r="AR41" s="7844">
        <f>IF(HLOOKUP("Gs",A1:CV300,41,FALSE)=0,0,HLOOKUP("Gs - Open",A1:CV300,41,FALSE)/HLOOKUP("Gs",A1:CV300,41,FALSE))</f>
      </c>
      <c r="AS41" t="n" s="7845">
        <v>0.56</v>
      </c>
      <c r="AT41" t="n" s="7846">
        <v>0.09</v>
      </c>
      <c r="AU41" s="7847">
        <f>IF(HLOOKUP("Mins",A1:CV300,41,FALSE)=0,0,HLOOKUP("Pts",A1:CV300,41,FALSE)/HLOOKUP("Mins",A1:CV300,41,FALSE)* 90)</f>
      </c>
      <c r="AV41" s="7848">
        <f>IF(HLOOKUP("Apps",A1:CV300,41,FALSE)=0,0,HLOOKUP("Pts",A1:CV300,41,FALSE)/HLOOKUP("Apps",A1:CV300,41,FALSE)* 1)</f>
      </c>
      <c r="AW41" s="7849">
        <f>IF(HLOOKUP("Mins",A1:CV300,41,FALSE)=0,0,HLOOKUP("Gs",A1:CV300,41,FALSE)/HLOOKUP("Mins",A1:CV300,41,FALSE)* 90)</f>
      </c>
      <c r="AX41" s="7850">
        <f>IF(HLOOKUP("Mins",A1:CV300,41,FALSE)=0,0,HLOOKUP("Bonus",A1:CV300,41,FALSE)/HLOOKUP("Mins",A1:CV300,41,FALSE)* 90)</f>
      </c>
      <c r="AY41" s="7851">
        <f>IF(HLOOKUP("Mins",A1:CV300,41,FALSE)=0,0,HLOOKUP("BPS",A1:CV300,41,FALSE)/HLOOKUP("Mins",A1:CV300,41,FALSE)* 90)</f>
      </c>
      <c r="AZ41" s="7852">
        <f>IF(HLOOKUP("Mins",A1:CV300,41,FALSE)=0,0,HLOOKUP("Base BPS",A1:CV300,41,FALSE)/HLOOKUP("Mins",A1:CV300,41,FALSE)* 90)</f>
      </c>
      <c r="BA41" s="7853">
        <f>IF(HLOOKUP("Mins",A1:CV300,41,FALSE)=0,0,HLOOKUP("PenTchs",A1:CV300,41,FALSE)/HLOOKUP("Mins",A1:CV300,41,FALSE)* 90)</f>
      </c>
      <c r="BB41" s="7854">
        <f>IF(HLOOKUP("Mins",A1:CV300,41,FALSE)=0,0,HLOOKUP("Shots",A1:CV300,41,FALSE)/HLOOKUP("Mins",A1:CV300,41,FALSE)* 90)</f>
      </c>
      <c r="BC41" s="7855">
        <f>IF(HLOOKUP("Mins",A1:CV300,41,FALSE)=0,0,HLOOKUP("SIB",A1:CV300,41,FALSE)/HLOOKUP("Mins",A1:CV300,41,FALSE)* 90)</f>
      </c>
      <c r="BD41" s="7856">
        <f>IF(HLOOKUP("Mins",A1:CV300,41,FALSE)=0,0,HLOOKUP("S6YD",A1:CV300,41,FALSE)/HLOOKUP("Mins",A1:CV300,41,FALSE)* 90)</f>
      </c>
      <c r="BE41" s="7857">
        <f>IF(HLOOKUP("Mins",A1:CV300,41,FALSE)=0,0,HLOOKUP("Headers",A1:CV300,41,FALSE)/HLOOKUP("Mins",A1:CV300,41,FALSE)* 90)</f>
      </c>
      <c r="BF41" s="7858">
        <f>IF(HLOOKUP("Mins",A1:CV300,41,FALSE)=0,0,HLOOKUP("SOT",A1:CV300,41,FALSE)/HLOOKUP("Mins",A1:CV300,41,FALSE)* 90)</f>
      </c>
      <c r="BG41" s="7859">
        <f>IF(HLOOKUP("Mins",A1:CV300,41,FALSE)=0,0,HLOOKUP("As",A1:CV300,41,FALSE)/HLOOKUP("Mins",A1:CV300,41,FALSE)* 90)</f>
      </c>
      <c r="BH41" s="7860">
        <f>IF(HLOOKUP("Mins",A1:CV300,41,FALSE)=0,0,HLOOKUP("FPL As",A1:CV300,41,FALSE)/HLOOKUP("Mins",A1:CV300,41,FALSE)* 90)</f>
      </c>
      <c r="BI41" s="7861">
        <f>IF(HLOOKUP("Mins",A1:CV300,41,FALSE)=0,0,HLOOKUP("BC Created",A1:CV300,41,FALSE)/HLOOKUP("Mins",A1:CV300,41,FALSE)* 90)</f>
      </c>
      <c r="BJ41" s="7862">
        <f>IF(HLOOKUP("Mins",A1:CV300,41,FALSE)=0,0,HLOOKUP("KP",A1:CV300,41,FALSE)/HLOOKUP("Mins",A1:CV300,41,FALSE)* 90)</f>
      </c>
      <c r="BK41" s="7863">
        <f>IF(HLOOKUP("Mins",A1:CV300,41,FALSE)=0,0,HLOOKUP("BC",A1:CV300,41,FALSE)/HLOOKUP("Mins",A1:CV300,41,FALSE)* 90)</f>
      </c>
      <c r="BL41" s="7864">
        <f>IF(HLOOKUP("Mins",A1:CV300,41,FALSE)=0,0,HLOOKUP("BC Miss",A1:CV300,41,FALSE)/HLOOKUP("Mins",A1:CV300,41,FALSE)* 90)</f>
      </c>
      <c r="BM41" s="7865">
        <f>IF(HLOOKUP("Mins",A1:CV300,41,FALSE)=0,0,HLOOKUP("Gs - BC",A1:CV300,41,FALSE)/HLOOKUP("Mins",A1:CV300,41,FALSE)* 90)</f>
      </c>
      <c r="BN41" s="7866">
        <f>IF(HLOOKUP("Mins",A1:CV300,41,FALSE)=0,0,HLOOKUP("GIB",A1:CV300,41,FALSE)/HLOOKUP("Mins",A1:CV300,41,FALSE)* 90)</f>
      </c>
      <c r="BO41" s="7867">
        <f>IF(HLOOKUP("Mins",A1:CV300,41,FALSE)=0,0,HLOOKUP("Gs - Open",A1:CV300,41,FALSE)/HLOOKUP("Mins",A1:CV300,41,FALSE)* 90)</f>
      </c>
      <c r="BP41" s="7868">
        <f>IF(HLOOKUP("Mins",A1:CV300,41,FALSE)=0,0,HLOOKUP("ICT Index",A1:CV300,41,FALSE)/HLOOKUP("Mins",A1:CV300,41,FALSE)* 90)</f>
      </c>
      <c r="BQ41" s="7869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7870">
        <f>0.0825*HLOOKUP("KP/90",A1:CV300,41,FALSE)</f>
      </c>
      <c r="BS41" s="7871">
        <f>6*HLOOKUP("xG/90",A1:CV300,41,FALSE)+3*HLOOKUP("xA/90",A1:CV300,41,FALSE)</f>
      </c>
      <c r="BT41" s="7872">
        <f>HLOOKUP("xPts/90",A1:CV300,41,FALSE)-(6*0.75*(HLOOKUP("PK Gs",A1:CV300,41,FALSE)+HLOOKUP("PK Miss",A1:CV300,41,FALSE))*90/HLOOKUP("Mins",A1:CV300,41,FALSE))</f>
      </c>
      <c r="BU41" s="7873">
        <f>IF(HLOOKUP("Mins",A1:CV300,41,FALSE)=0,0,HLOOKUP("fsXG",A1:CV300,41,FALSE)/HLOOKUP("Mins",A1:CV300,41,FALSE)* 90)</f>
      </c>
      <c r="BV41" s="7874">
        <f>IF(HLOOKUP("Mins",A1:CV300,41,FALSE)=0,0,HLOOKUP("fsXA",A1:CV300,41,FALSE)/HLOOKUP("Mins",A1:CV300,41,FALSE)* 90)</f>
      </c>
      <c r="BW41" s="7875">
        <f>6*HLOOKUP("fsXG/90",A1:CV300,41,FALSE)+3*HLOOKUP("fsXA/90",A1:CV300,41,FALSE)</f>
      </c>
      <c r="BX41" t="n" s="7876">
        <v>0.19731390476226807</v>
      </c>
      <c r="BY41" t="n" s="7877">
        <v>0.01659928634762764</v>
      </c>
      <c r="BZ41" s="7878">
        <f>6*HLOOKUP("uXG/90",A1:CV300,41,FALSE)+3*HLOOKUP("uXA/90",A1:CV300,41,FALSE)</f>
      </c>
    </row>
    <row r="42">
      <c r="A42" t="s" s="7879">
        <v>198</v>
      </c>
      <c r="B42" t="s" s="7880">
        <v>80</v>
      </c>
      <c r="C42" t="n" s="7881">
        <v>5.199999809265137</v>
      </c>
      <c r="D42" t="n" s="7882">
        <v>80.0</v>
      </c>
      <c r="E42" t="n" s="7883">
        <v>2.0</v>
      </c>
      <c r="F42" t="n" s="7884">
        <v>6.0</v>
      </c>
      <c r="G42" t="n" s="7885">
        <v>0.0</v>
      </c>
      <c r="H42" t="n" s="7886">
        <v>0.0</v>
      </c>
      <c r="I42" t="n" s="7887">
        <v>35.0</v>
      </c>
      <c r="J42" s="7888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7889">
        <v>0.0</v>
      </c>
      <c r="L42" t="n" s="7890">
        <v>0.0</v>
      </c>
      <c r="M42" t="n" s="7891">
        <v>0.0</v>
      </c>
      <c r="N42" t="n" s="7892">
        <v>0.0</v>
      </c>
      <c r="O42" t="n" s="7893">
        <v>0.0</v>
      </c>
      <c r="P42" s="7894">
        <f>IF(HLOOKUP("Shots",A1:CV300,42,FALSE)=0,0,HLOOKUP("SIB",A1:CV300,42,FALSE)/HLOOKUP("Shots",A1:CV300,42,FALSE))</f>
      </c>
      <c r="Q42" t="n" s="7895">
        <v>0.0</v>
      </c>
      <c r="R42" s="7896">
        <f>IF(HLOOKUP("Shots",A1:CV300,42,FALSE)=0,0,HLOOKUP("S6YD",A1:CV300,42,FALSE)/HLOOKUP("Shots",A1:CV300,42,FALSE))</f>
      </c>
      <c r="S42" t="n" s="7897">
        <v>0.0</v>
      </c>
      <c r="T42" s="7898">
        <f>IF(HLOOKUP("Shots",A1:CV300,42,FALSE)=0,0,HLOOKUP("Headers",A1:CV300,42,FALSE)/HLOOKUP("Shots",A1:CV300,42,FALSE))</f>
      </c>
      <c r="U42" t="n" s="7899">
        <v>0.0</v>
      </c>
      <c r="V42" s="7900">
        <f>IF(HLOOKUP("Shots",A1:CV300,42,FALSE)=0,0,HLOOKUP("SOT",A1:CV300,42,FALSE)/HLOOKUP("Shots",A1:CV300,42,FALSE))</f>
      </c>
      <c r="W42" s="7901">
        <f>IF(HLOOKUP("Shots",A1:CV300,42,FALSE)=0,0,HLOOKUP("Gs",A1:CV300,42,FALSE)/HLOOKUP("Shots",A1:CV300,42,FALSE))</f>
      </c>
      <c r="X42" t="n" s="7902">
        <v>0.0</v>
      </c>
      <c r="Y42" t="n" s="7903">
        <v>1.0</v>
      </c>
      <c r="Z42" t="n" s="7904">
        <v>0.0</v>
      </c>
      <c r="AA42" s="7905">
        <f>IF(HLOOKUP("KP",A1:CV300,42,FALSE)=0,0,HLOOKUP("As",A1:CV300,42,FALSE)/HLOOKUP("KP",A1:CV300,42,FALSE))</f>
      </c>
      <c r="AB42" t="n" s="7906">
        <v>1.3</v>
      </c>
      <c r="AC42" t="n" s="7907">
        <v>0.0</v>
      </c>
      <c r="AD42" t="n" s="7908">
        <v>0.0</v>
      </c>
      <c r="AE42" t="n" s="7909">
        <v>0.0</v>
      </c>
      <c r="AF42" t="n" s="7910">
        <v>0.0</v>
      </c>
      <c r="AG42" s="7911">
        <f>IF(HLOOKUP("BC",A1:CV300,42,FALSE)=0,0,HLOOKUP("Gs - BC",A1:CV300,42,FALSE)/HLOOKUP("BC",A1:CV300,42,FALSE))</f>
      </c>
      <c r="AH42" s="7912">
        <f>HLOOKUP("BC",A1:CV300,42,FALSE) - HLOOKUP("BC Miss",A1:CV300,42,FALSE)</f>
      </c>
      <c r="AI42" s="7913">
        <f>IF(HLOOKUP("Gs",A1:CV300,42,FALSE)=0,0,HLOOKUP("Gs - BC",A1:CV300,42,FALSE)/HLOOKUP("Gs",A1:CV300,42,FALSE))</f>
      </c>
      <c r="AJ42" t="n" s="7914">
        <v>0.0</v>
      </c>
      <c r="AK42" t="n" s="7915">
        <v>0.0</v>
      </c>
      <c r="AL42" s="7916">
        <f>HLOOKUP("BC",A1:CV300,42,FALSE) - (HLOOKUP("PK Gs",A1:CV300,42,FALSE) + HLOOKUP("PK Miss",A1:CV300,42,FALSE))</f>
      </c>
      <c r="AM42" s="7917">
        <f>HLOOKUP("BC Miss",A1:CV300,42,FALSE) - HLOOKUP("PK Miss",A1:CV300,42,FALSE)</f>
      </c>
      <c r="AN42" s="7918">
        <f>IF(HLOOKUP("BC - Open",A1:CV300,42,FALSE)=0,0,HLOOKUP("BC - Open Miss",A1:CV300,42,FALSE)/HLOOKUP("BC - Open",A1:CV300,42,FALSE))</f>
      </c>
      <c r="AO42" t="n" s="7919">
        <v>0.0</v>
      </c>
      <c r="AP42" s="7920">
        <f>IF(HLOOKUP("Gs",A1:CV300,42,FALSE)=0,0,HLOOKUP("GIB",A1:CV300,42,FALSE)/HLOOKUP("Gs",A1:CV300,42,FALSE))</f>
      </c>
      <c r="AQ42" t="n" s="7921">
        <v>0.0</v>
      </c>
      <c r="AR42" s="7922">
        <f>IF(HLOOKUP("Gs",A1:CV300,42,FALSE)=0,0,HLOOKUP("Gs - Open",A1:CV300,42,FALSE)/HLOOKUP("Gs",A1:CV300,42,FALSE))</f>
      </c>
      <c r="AS42" t="n" s="7923">
        <v>0.0</v>
      </c>
      <c r="AT42" t="n" s="7924">
        <v>0.0</v>
      </c>
      <c r="AU42" s="7925">
        <f>IF(HLOOKUP("Mins",A1:CV300,42,FALSE)=0,0,HLOOKUP("Pts",A1:CV300,42,FALSE)/HLOOKUP("Mins",A1:CV300,42,FALSE)* 90)</f>
      </c>
      <c r="AV42" s="7926">
        <f>IF(HLOOKUP("Apps",A1:CV300,42,FALSE)=0,0,HLOOKUP("Pts",A1:CV300,42,FALSE)/HLOOKUP("Apps",A1:CV300,42,FALSE)* 1)</f>
      </c>
      <c r="AW42" s="7927">
        <f>IF(HLOOKUP("Mins",A1:CV300,42,FALSE)=0,0,HLOOKUP("Gs",A1:CV300,42,FALSE)/HLOOKUP("Mins",A1:CV300,42,FALSE)* 90)</f>
      </c>
      <c r="AX42" s="7928">
        <f>IF(HLOOKUP("Mins",A1:CV300,42,FALSE)=0,0,HLOOKUP("Bonus",A1:CV300,42,FALSE)/HLOOKUP("Mins",A1:CV300,42,FALSE)* 90)</f>
      </c>
      <c r="AY42" s="7929">
        <f>IF(HLOOKUP("Mins",A1:CV300,42,FALSE)=0,0,HLOOKUP("BPS",A1:CV300,42,FALSE)/HLOOKUP("Mins",A1:CV300,42,FALSE)* 90)</f>
      </c>
      <c r="AZ42" s="7930">
        <f>IF(HLOOKUP("Mins",A1:CV300,42,FALSE)=0,0,HLOOKUP("Base BPS",A1:CV300,42,FALSE)/HLOOKUP("Mins",A1:CV300,42,FALSE)* 90)</f>
      </c>
      <c r="BA42" s="7931">
        <f>IF(HLOOKUP("Mins",A1:CV300,42,FALSE)=0,0,HLOOKUP("PenTchs",A1:CV300,42,FALSE)/HLOOKUP("Mins",A1:CV300,42,FALSE)* 90)</f>
      </c>
      <c r="BB42" s="7932">
        <f>IF(HLOOKUP("Mins",A1:CV300,42,FALSE)=0,0,HLOOKUP("Shots",A1:CV300,42,FALSE)/HLOOKUP("Mins",A1:CV300,42,FALSE)* 90)</f>
      </c>
      <c r="BC42" s="7933">
        <f>IF(HLOOKUP("Mins",A1:CV300,42,FALSE)=0,0,HLOOKUP("SIB",A1:CV300,42,FALSE)/HLOOKUP("Mins",A1:CV300,42,FALSE)* 90)</f>
      </c>
      <c r="BD42" s="7934">
        <f>IF(HLOOKUP("Mins",A1:CV300,42,FALSE)=0,0,HLOOKUP("S6YD",A1:CV300,42,FALSE)/HLOOKUP("Mins",A1:CV300,42,FALSE)* 90)</f>
      </c>
      <c r="BE42" s="7935">
        <f>IF(HLOOKUP("Mins",A1:CV300,42,FALSE)=0,0,HLOOKUP("Headers",A1:CV300,42,FALSE)/HLOOKUP("Mins",A1:CV300,42,FALSE)* 90)</f>
      </c>
      <c r="BF42" s="7936">
        <f>IF(HLOOKUP("Mins",A1:CV300,42,FALSE)=0,0,HLOOKUP("SOT",A1:CV300,42,FALSE)/HLOOKUP("Mins",A1:CV300,42,FALSE)* 90)</f>
      </c>
      <c r="BG42" s="7937">
        <f>IF(HLOOKUP("Mins",A1:CV300,42,FALSE)=0,0,HLOOKUP("As",A1:CV300,42,FALSE)/HLOOKUP("Mins",A1:CV300,42,FALSE)* 90)</f>
      </c>
      <c r="BH42" s="7938">
        <f>IF(HLOOKUP("Mins",A1:CV300,42,FALSE)=0,0,HLOOKUP("FPL As",A1:CV300,42,FALSE)/HLOOKUP("Mins",A1:CV300,42,FALSE)* 90)</f>
      </c>
      <c r="BI42" s="7939">
        <f>IF(HLOOKUP("Mins",A1:CV300,42,FALSE)=0,0,HLOOKUP("BC Created",A1:CV300,42,FALSE)/HLOOKUP("Mins",A1:CV300,42,FALSE)* 90)</f>
      </c>
      <c r="BJ42" s="7940">
        <f>IF(HLOOKUP("Mins",A1:CV300,42,FALSE)=0,0,HLOOKUP("KP",A1:CV300,42,FALSE)/HLOOKUP("Mins",A1:CV300,42,FALSE)* 90)</f>
      </c>
      <c r="BK42" s="7941">
        <f>IF(HLOOKUP("Mins",A1:CV300,42,FALSE)=0,0,HLOOKUP("BC",A1:CV300,42,FALSE)/HLOOKUP("Mins",A1:CV300,42,FALSE)* 90)</f>
      </c>
      <c r="BL42" s="7942">
        <f>IF(HLOOKUP("Mins",A1:CV300,42,FALSE)=0,0,HLOOKUP("BC Miss",A1:CV300,42,FALSE)/HLOOKUP("Mins",A1:CV300,42,FALSE)* 90)</f>
      </c>
      <c r="BM42" s="7943">
        <f>IF(HLOOKUP("Mins",A1:CV300,42,FALSE)=0,0,HLOOKUP("Gs - BC",A1:CV300,42,FALSE)/HLOOKUP("Mins",A1:CV300,42,FALSE)* 90)</f>
      </c>
      <c r="BN42" s="7944">
        <f>IF(HLOOKUP("Mins",A1:CV300,42,FALSE)=0,0,HLOOKUP("GIB",A1:CV300,42,FALSE)/HLOOKUP("Mins",A1:CV300,42,FALSE)* 90)</f>
      </c>
      <c r="BO42" s="7945">
        <f>IF(HLOOKUP("Mins",A1:CV300,42,FALSE)=0,0,HLOOKUP("Gs - Open",A1:CV300,42,FALSE)/HLOOKUP("Mins",A1:CV300,42,FALSE)* 90)</f>
      </c>
      <c r="BP42" s="7946">
        <f>IF(HLOOKUP("Mins",A1:CV300,42,FALSE)=0,0,HLOOKUP("ICT Index",A1:CV300,42,FALSE)/HLOOKUP("Mins",A1:CV300,42,FALSE)* 90)</f>
      </c>
      <c r="BQ42" s="7947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7948">
        <f>0.0825*HLOOKUP("KP/90",A1:CV300,42,FALSE)</f>
      </c>
      <c r="BS42" s="7949">
        <f>6*HLOOKUP("xG/90",A1:CV300,42,FALSE)+3*HLOOKUP("xA/90",A1:CV300,42,FALSE)</f>
      </c>
      <c r="BT42" s="7950">
        <f>HLOOKUP("xPts/90",A1:CV300,42,FALSE)-(6*0.75*(HLOOKUP("PK Gs",A1:CV300,42,FALSE)+HLOOKUP("PK Miss",A1:CV300,42,FALSE))*90/HLOOKUP("Mins",A1:CV300,42,FALSE))</f>
      </c>
      <c r="BU42" s="7951">
        <f>IF(HLOOKUP("Mins",A1:CV300,42,FALSE)=0,0,HLOOKUP("fsXG",A1:CV300,42,FALSE)/HLOOKUP("Mins",A1:CV300,42,FALSE)* 90)</f>
      </c>
      <c r="BV42" s="7952">
        <f>IF(HLOOKUP("Mins",A1:CV300,42,FALSE)=0,0,HLOOKUP("fsXA",A1:CV300,42,FALSE)/HLOOKUP("Mins",A1:CV300,42,FALSE)* 90)</f>
      </c>
      <c r="BW42" s="7953">
        <f>6*HLOOKUP("fsXG/90",A1:CV300,42,FALSE)+3*HLOOKUP("fsXA/90",A1:CV300,42,FALSE)</f>
      </c>
      <c r="BX42" t="n" s="7954">
        <v>0.0</v>
      </c>
      <c r="BY42" t="n" s="7955">
        <v>0.0</v>
      </c>
      <c r="BZ42" s="7956">
        <f>6*HLOOKUP("uXG/90",A1:CV300,42,FALSE)+3*HLOOKUP("uXA/90",A1:CV300,42,FALSE)</f>
      </c>
    </row>
    <row r="43">
      <c r="A43" t="s" s="7957">
        <v>199</v>
      </c>
      <c r="B43" t="s" s="7958">
        <v>114</v>
      </c>
      <c r="C43" t="n" s="7959">
        <v>5.400000095367432</v>
      </c>
      <c r="D43" t="n" s="7960">
        <v>449.0</v>
      </c>
      <c r="E43" t="n" s="7961">
        <v>5.0</v>
      </c>
      <c r="F43" t="n" s="7962">
        <v>57.0</v>
      </c>
      <c r="G43" t="n" s="7963">
        <v>0.0</v>
      </c>
      <c r="H43" t="n" s="7964">
        <v>9.0</v>
      </c>
      <c r="I43" t="n" s="7965">
        <v>270.0</v>
      </c>
      <c r="J43" s="7966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7967">
        <v>0.0</v>
      </c>
      <c r="L43" t="n" s="7968">
        <v>4.0</v>
      </c>
      <c r="M43" t="n" s="7969">
        <v>4.0</v>
      </c>
      <c r="N43" t="n" s="7970">
        <v>5.0</v>
      </c>
      <c r="O43" t="n" s="7971">
        <v>1.0</v>
      </c>
      <c r="P43" s="7972">
        <f>IF(HLOOKUP("Shots",A1:CV300,43,FALSE)=0,0,HLOOKUP("SIB",A1:CV300,43,FALSE)/HLOOKUP("Shots",A1:CV300,43,FALSE))</f>
      </c>
      <c r="Q43" t="n" s="7973">
        <v>0.0</v>
      </c>
      <c r="R43" s="7974">
        <f>IF(HLOOKUP("Shots",A1:CV300,43,FALSE)=0,0,HLOOKUP("S6YD",A1:CV300,43,FALSE)/HLOOKUP("Shots",A1:CV300,43,FALSE))</f>
      </c>
      <c r="S43" t="n" s="7975">
        <v>0.0</v>
      </c>
      <c r="T43" s="7976">
        <f>IF(HLOOKUP("Shots",A1:CV300,43,FALSE)=0,0,HLOOKUP("Headers",A1:CV300,43,FALSE)/HLOOKUP("Shots",A1:CV300,43,FALSE))</f>
      </c>
      <c r="U43" t="n" s="7977">
        <v>1.0</v>
      </c>
      <c r="V43" s="7978">
        <f>IF(HLOOKUP("Shots",A1:CV300,43,FALSE)=0,0,HLOOKUP("SOT",A1:CV300,43,FALSE)/HLOOKUP("Shots",A1:CV300,43,FALSE))</f>
      </c>
      <c r="W43" s="7979">
        <f>IF(HLOOKUP("Shots",A1:CV300,43,FALSE)=0,0,HLOOKUP("Gs",A1:CV300,43,FALSE)/HLOOKUP("Shots",A1:CV300,43,FALSE))</f>
      </c>
      <c r="X43" t="n" s="7980">
        <v>1.0</v>
      </c>
      <c r="Y43" t="n" s="7981">
        <v>4.0</v>
      </c>
      <c r="Z43" t="n" s="7982">
        <v>6.0</v>
      </c>
      <c r="AA43" s="7983">
        <f>IF(HLOOKUP("KP",A1:CV300,43,FALSE)=0,0,HLOOKUP("As",A1:CV300,43,FALSE)/HLOOKUP("KP",A1:CV300,43,FALSE))</f>
      </c>
      <c r="AB43" t="n" s="7984">
        <v>26.3</v>
      </c>
      <c r="AC43" t="n" s="7985">
        <v>20.0</v>
      </c>
      <c r="AD43" t="n" s="7986">
        <v>0.0</v>
      </c>
      <c r="AE43" t="n" s="7987">
        <v>0.0</v>
      </c>
      <c r="AF43" t="n" s="7988">
        <v>0.0</v>
      </c>
      <c r="AG43" s="7989">
        <f>IF(HLOOKUP("BC",A1:CV300,43,FALSE)=0,0,HLOOKUP("Gs - BC",A1:CV300,43,FALSE)/HLOOKUP("BC",A1:CV300,43,FALSE))</f>
      </c>
      <c r="AH43" s="7990">
        <f>HLOOKUP("BC",A1:CV300,43,FALSE) - HLOOKUP("BC Miss",A1:CV300,43,FALSE)</f>
      </c>
      <c r="AI43" s="7991">
        <f>IF(HLOOKUP("Gs",A1:CV300,43,FALSE)=0,0,HLOOKUP("Gs - BC",A1:CV300,43,FALSE)/HLOOKUP("Gs",A1:CV300,43,FALSE))</f>
      </c>
      <c r="AJ43" t="n" s="7992">
        <v>0.0</v>
      </c>
      <c r="AK43" t="n" s="7993">
        <v>0.0</v>
      </c>
      <c r="AL43" s="7994">
        <f>HLOOKUP("BC",A1:CV300,43,FALSE) - (HLOOKUP("PK Gs",A1:CV300,43,FALSE) + HLOOKUP("PK Miss",A1:CV300,43,FALSE))</f>
      </c>
      <c r="AM43" s="7995">
        <f>HLOOKUP("BC Miss",A1:CV300,43,FALSE) - HLOOKUP("PK Miss",A1:CV300,43,FALSE)</f>
      </c>
      <c r="AN43" s="7996">
        <f>IF(HLOOKUP("BC - Open",A1:CV300,43,FALSE)=0,0,HLOOKUP("BC - Open Miss",A1:CV300,43,FALSE)/HLOOKUP("BC - Open",A1:CV300,43,FALSE))</f>
      </c>
      <c r="AO43" t="n" s="7997">
        <v>0.0</v>
      </c>
      <c r="AP43" s="7998">
        <f>IF(HLOOKUP("Gs",A1:CV300,43,FALSE)=0,0,HLOOKUP("GIB",A1:CV300,43,FALSE)/HLOOKUP("Gs",A1:CV300,43,FALSE))</f>
      </c>
      <c r="AQ43" t="n" s="7999">
        <v>0.0</v>
      </c>
      <c r="AR43" s="8000">
        <f>IF(HLOOKUP("Gs",A1:CV300,43,FALSE)=0,0,HLOOKUP("Gs - Open",A1:CV300,43,FALSE)/HLOOKUP("Gs",A1:CV300,43,FALSE))</f>
      </c>
      <c r="AS43" t="n" s="8001">
        <v>0.16</v>
      </c>
      <c r="AT43" t="n" s="8002">
        <v>0.26</v>
      </c>
      <c r="AU43" s="8003">
        <f>IF(HLOOKUP("Mins",A1:CV300,43,FALSE)=0,0,HLOOKUP("Pts",A1:CV300,43,FALSE)/HLOOKUP("Mins",A1:CV300,43,FALSE)* 90)</f>
      </c>
      <c r="AV43" s="8004">
        <f>IF(HLOOKUP("Apps",A1:CV300,43,FALSE)=0,0,HLOOKUP("Pts",A1:CV300,43,FALSE)/HLOOKUP("Apps",A1:CV300,43,FALSE)* 1)</f>
      </c>
      <c r="AW43" s="8005">
        <f>IF(HLOOKUP("Mins",A1:CV300,43,FALSE)=0,0,HLOOKUP("Gs",A1:CV300,43,FALSE)/HLOOKUP("Mins",A1:CV300,43,FALSE)* 90)</f>
      </c>
      <c r="AX43" s="8006">
        <f>IF(HLOOKUP("Mins",A1:CV300,43,FALSE)=0,0,HLOOKUP("Bonus",A1:CV300,43,FALSE)/HLOOKUP("Mins",A1:CV300,43,FALSE)* 90)</f>
      </c>
      <c r="AY43" s="8007">
        <f>IF(HLOOKUP("Mins",A1:CV300,43,FALSE)=0,0,HLOOKUP("BPS",A1:CV300,43,FALSE)/HLOOKUP("Mins",A1:CV300,43,FALSE)* 90)</f>
      </c>
      <c r="AZ43" s="8008">
        <f>IF(HLOOKUP("Mins",A1:CV300,43,FALSE)=0,0,HLOOKUP("Base BPS",A1:CV300,43,FALSE)/HLOOKUP("Mins",A1:CV300,43,FALSE)* 90)</f>
      </c>
      <c r="BA43" s="8009">
        <f>IF(HLOOKUP("Mins",A1:CV300,43,FALSE)=0,0,HLOOKUP("PenTchs",A1:CV300,43,FALSE)/HLOOKUP("Mins",A1:CV300,43,FALSE)* 90)</f>
      </c>
      <c r="BB43" s="8010">
        <f>IF(HLOOKUP("Mins",A1:CV300,43,FALSE)=0,0,HLOOKUP("Shots",A1:CV300,43,FALSE)/HLOOKUP("Mins",A1:CV300,43,FALSE)* 90)</f>
      </c>
      <c r="BC43" s="8011">
        <f>IF(HLOOKUP("Mins",A1:CV300,43,FALSE)=0,0,HLOOKUP("SIB",A1:CV300,43,FALSE)/HLOOKUP("Mins",A1:CV300,43,FALSE)* 90)</f>
      </c>
      <c r="BD43" s="8012">
        <f>IF(HLOOKUP("Mins",A1:CV300,43,FALSE)=0,0,HLOOKUP("S6YD",A1:CV300,43,FALSE)/HLOOKUP("Mins",A1:CV300,43,FALSE)* 90)</f>
      </c>
      <c r="BE43" s="8013">
        <f>IF(HLOOKUP("Mins",A1:CV300,43,FALSE)=0,0,HLOOKUP("Headers",A1:CV300,43,FALSE)/HLOOKUP("Mins",A1:CV300,43,FALSE)* 90)</f>
      </c>
      <c r="BF43" s="8014">
        <f>IF(HLOOKUP("Mins",A1:CV300,43,FALSE)=0,0,HLOOKUP("SOT",A1:CV300,43,FALSE)/HLOOKUP("Mins",A1:CV300,43,FALSE)* 90)</f>
      </c>
      <c r="BG43" s="8015">
        <f>IF(HLOOKUP("Mins",A1:CV300,43,FALSE)=0,0,HLOOKUP("As",A1:CV300,43,FALSE)/HLOOKUP("Mins",A1:CV300,43,FALSE)* 90)</f>
      </c>
      <c r="BH43" s="8016">
        <f>IF(HLOOKUP("Mins",A1:CV300,43,FALSE)=0,0,HLOOKUP("FPL As",A1:CV300,43,FALSE)/HLOOKUP("Mins",A1:CV300,43,FALSE)* 90)</f>
      </c>
      <c r="BI43" s="8017">
        <f>IF(HLOOKUP("Mins",A1:CV300,43,FALSE)=0,0,HLOOKUP("BC Created",A1:CV300,43,FALSE)/HLOOKUP("Mins",A1:CV300,43,FALSE)* 90)</f>
      </c>
      <c r="BJ43" s="8018">
        <f>IF(HLOOKUP("Mins",A1:CV300,43,FALSE)=0,0,HLOOKUP("KP",A1:CV300,43,FALSE)/HLOOKUP("Mins",A1:CV300,43,FALSE)* 90)</f>
      </c>
      <c r="BK43" s="8019">
        <f>IF(HLOOKUP("Mins",A1:CV300,43,FALSE)=0,0,HLOOKUP("BC",A1:CV300,43,FALSE)/HLOOKUP("Mins",A1:CV300,43,FALSE)* 90)</f>
      </c>
      <c r="BL43" s="8020">
        <f>IF(HLOOKUP("Mins",A1:CV300,43,FALSE)=0,0,HLOOKUP("BC Miss",A1:CV300,43,FALSE)/HLOOKUP("Mins",A1:CV300,43,FALSE)* 90)</f>
      </c>
      <c r="BM43" s="8021">
        <f>IF(HLOOKUP("Mins",A1:CV300,43,FALSE)=0,0,HLOOKUP("Gs - BC",A1:CV300,43,FALSE)/HLOOKUP("Mins",A1:CV300,43,FALSE)* 90)</f>
      </c>
      <c r="BN43" s="8022">
        <f>IF(HLOOKUP("Mins",A1:CV300,43,FALSE)=0,0,HLOOKUP("GIB",A1:CV300,43,FALSE)/HLOOKUP("Mins",A1:CV300,43,FALSE)* 90)</f>
      </c>
      <c r="BO43" s="8023">
        <f>IF(HLOOKUP("Mins",A1:CV300,43,FALSE)=0,0,HLOOKUP("Gs - Open",A1:CV300,43,FALSE)/HLOOKUP("Mins",A1:CV300,43,FALSE)* 90)</f>
      </c>
      <c r="BP43" s="8024">
        <f>IF(HLOOKUP("Mins",A1:CV300,43,FALSE)=0,0,HLOOKUP("ICT Index",A1:CV300,43,FALSE)/HLOOKUP("Mins",A1:CV300,43,FALSE)* 90)</f>
      </c>
      <c r="BQ43" s="8025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8026">
        <f>0.0825*HLOOKUP("KP/90",A1:CV300,43,FALSE)</f>
      </c>
      <c r="BS43" s="8027">
        <f>6*HLOOKUP("xG/90",A1:CV300,43,FALSE)+3*HLOOKUP("xA/90",A1:CV300,43,FALSE)</f>
      </c>
      <c r="BT43" s="8028">
        <f>HLOOKUP("xPts/90",A1:CV300,43,FALSE)-(6*0.75*(HLOOKUP("PK Gs",A1:CV300,43,FALSE)+HLOOKUP("PK Miss",A1:CV300,43,FALSE))*90/HLOOKUP("Mins",A1:CV300,43,FALSE))</f>
      </c>
      <c r="BU43" s="8029">
        <f>IF(HLOOKUP("Mins",A1:CV300,43,FALSE)=0,0,HLOOKUP("fsXG",A1:CV300,43,FALSE)/HLOOKUP("Mins",A1:CV300,43,FALSE)* 90)</f>
      </c>
      <c r="BV43" s="8030">
        <f>IF(HLOOKUP("Mins",A1:CV300,43,FALSE)=0,0,HLOOKUP("fsXA",A1:CV300,43,FALSE)/HLOOKUP("Mins",A1:CV300,43,FALSE)* 90)</f>
      </c>
      <c r="BW43" s="8031">
        <f>6*HLOOKUP("fsXG/90",A1:CV300,43,FALSE)+3*HLOOKUP("fsXA/90",A1:CV300,43,FALSE)</f>
      </c>
      <c r="BX43" t="n" s="8032">
        <v>0.03056827373802662</v>
      </c>
      <c r="BY43" t="n" s="8033">
        <v>0.05369894206523895</v>
      </c>
      <c r="BZ43" s="8034">
        <f>6*HLOOKUP("uXG/90",A1:CV300,43,FALSE)+3*HLOOKUP("uXA/90",A1:CV300,43,FALSE)</f>
      </c>
    </row>
    <row r="44">
      <c r="A44" t="s" s="8035">
        <v>200</v>
      </c>
      <c r="B44" t="s" s="8036">
        <v>109</v>
      </c>
      <c r="C44" t="n" s="8037">
        <v>4.400000095367432</v>
      </c>
      <c r="D44" t="n" s="8038">
        <v>450.0</v>
      </c>
      <c r="E44" t="n" s="8039">
        <v>5.0</v>
      </c>
      <c r="F44" t="n" s="8040">
        <v>51.0</v>
      </c>
      <c r="G44" t="n" s="8041">
        <v>1.0</v>
      </c>
      <c r="H44" t="n" s="8042">
        <v>5.0</v>
      </c>
      <c r="I44" t="n" s="8043">
        <v>294.0</v>
      </c>
      <c r="J44" s="8044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8045">
        <v>1.0</v>
      </c>
      <c r="L44" t="n" s="8046">
        <v>2.0</v>
      </c>
      <c r="M44" t="n" s="8047">
        <v>6.0</v>
      </c>
      <c r="N44" t="n" s="8048">
        <v>4.0</v>
      </c>
      <c r="O44" t="n" s="8049">
        <v>4.0</v>
      </c>
      <c r="P44" s="8050">
        <f>IF(HLOOKUP("Shots",A1:CV300,44,FALSE)=0,0,HLOOKUP("SIB",A1:CV300,44,FALSE)/HLOOKUP("Shots",A1:CV300,44,FALSE))</f>
      </c>
      <c r="Q44" t="n" s="8051">
        <v>0.0</v>
      </c>
      <c r="R44" s="8052">
        <f>IF(HLOOKUP("Shots",A1:CV300,44,FALSE)=0,0,HLOOKUP("S6YD",A1:CV300,44,FALSE)/HLOOKUP("Shots",A1:CV300,44,FALSE))</f>
      </c>
      <c r="S44" t="n" s="8053">
        <v>4.0</v>
      </c>
      <c r="T44" s="8054">
        <f>IF(HLOOKUP("Shots",A1:CV300,44,FALSE)=0,0,HLOOKUP("Headers",A1:CV300,44,FALSE)/HLOOKUP("Shots",A1:CV300,44,FALSE))</f>
      </c>
      <c r="U44" t="n" s="8055">
        <v>1.0</v>
      </c>
      <c r="V44" s="8056">
        <f>IF(HLOOKUP("Shots",A1:CV300,44,FALSE)=0,0,HLOOKUP("SOT",A1:CV300,44,FALSE)/HLOOKUP("Shots",A1:CV300,44,FALSE))</f>
      </c>
      <c r="W44" s="8057">
        <f>IF(HLOOKUP("Shots",A1:CV300,44,FALSE)=0,0,HLOOKUP("Gs",A1:CV300,44,FALSE)/HLOOKUP("Shots",A1:CV300,44,FALSE))</f>
      </c>
      <c r="X44" t="n" s="8058">
        <v>0.0</v>
      </c>
      <c r="Y44" t="n" s="8059">
        <v>0.0</v>
      </c>
      <c r="Z44" t="n" s="8060">
        <v>0.0</v>
      </c>
      <c r="AA44" s="8061">
        <f>IF(HLOOKUP("KP",A1:CV300,44,FALSE)=0,0,HLOOKUP("As",A1:CV300,44,FALSE)/HLOOKUP("KP",A1:CV300,44,FALSE))</f>
      </c>
      <c r="AB44" t="n" s="8062">
        <v>19.4</v>
      </c>
      <c r="AC44" t="n" s="8063">
        <v>33.0</v>
      </c>
      <c r="AD44" t="n" s="8064">
        <v>0.0</v>
      </c>
      <c r="AE44" t="n" s="8065">
        <v>1.0</v>
      </c>
      <c r="AF44" t="n" s="8066">
        <v>0.0</v>
      </c>
      <c r="AG44" s="8067">
        <f>IF(HLOOKUP("BC",A1:CV300,44,FALSE)=0,0,HLOOKUP("Gs - BC",A1:CV300,44,FALSE)/HLOOKUP("BC",A1:CV300,44,FALSE))</f>
      </c>
      <c r="AH44" s="8068">
        <f>HLOOKUP("BC",A1:CV300,44,FALSE) - HLOOKUP("BC Miss",A1:CV300,44,FALSE)</f>
      </c>
      <c r="AI44" s="8069">
        <f>IF(HLOOKUP("Gs",A1:CV300,44,FALSE)=0,0,HLOOKUP("Gs - BC",A1:CV300,44,FALSE)/HLOOKUP("Gs",A1:CV300,44,FALSE))</f>
      </c>
      <c r="AJ44" t="n" s="8070">
        <v>0.0</v>
      </c>
      <c r="AK44" t="n" s="8071">
        <v>0.0</v>
      </c>
      <c r="AL44" s="8072">
        <f>HLOOKUP("BC",A1:CV300,44,FALSE) - (HLOOKUP("PK Gs",A1:CV300,44,FALSE) + HLOOKUP("PK Miss",A1:CV300,44,FALSE))</f>
      </c>
      <c r="AM44" s="8073">
        <f>HLOOKUP("BC Miss",A1:CV300,44,FALSE) - HLOOKUP("PK Miss",A1:CV300,44,FALSE)</f>
      </c>
      <c r="AN44" s="8074">
        <f>IF(HLOOKUP("BC - Open",A1:CV300,44,FALSE)=0,0,HLOOKUP("BC - Open Miss",A1:CV300,44,FALSE)/HLOOKUP("BC - Open",A1:CV300,44,FALSE))</f>
      </c>
      <c r="AO44" t="n" s="8075">
        <v>1.0</v>
      </c>
      <c r="AP44" s="8076">
        <f>IF(HLOOKUP("Gs",A1:CV300,44,FALSE)=0,0,HLOOKUP("GIB",A1:CV300,44,FALSE)/HLOOKUP("Gs",A1:CV300,44,FALSE))</f>
      </c>
      <c r="AQ44" t="n" s="8077">
        <v>0.0</v>
      </c>
      <c r="AR44" s="8078">
        <f>IF(HLOOKUP("Gs",A1:CV300,44,FALSE)=0,0,HLOOKUP("Gs - Open",A1:CV300,44,FALSE)/HLOOKUP("Gs",A1:CV300,44,FALSE))</f>
      </c>
      <c r="AS44" t="n" s="8079">
        <v>0.4</v>
      </c>
      <c r="AT44" t="n" s="8080">
        <v>0.06</v>
      </c>
      <c r="AU44" s="8081">
        <f>IF(HLOOKUP("Mins",A1:CV300,44,FALSE)=0,0,HLOOKUP("Pts",A1:CV300,44,FALSE)/HLOOKUP("Mins",A1:CV300,44,FALSE)* 90)</f>
      </c>
      <c r="AV44" s="8082">
        <f>IF(HLOOKUP("Apps",A1:CV300,44,FALSE)=0,0,HLOOKUP("Pts",A1:CV300,44,FALSE)/HLOOKUP("Apps",A1:CV300,44,FALSE)* 1)</f>
      </c>
      <c r="AW44" s="8083">
        <f>IF(HLOOKUP("Mins",A1:CV300,44,FALSE)=0,0,HLOOKUP("Gs",A1:CV300,44,FALSE)/HLOOKUP("Mins",A1:CV300,44,FALSE)* 90)</f>
      </c>
      <c r="AX44" s="8084">
        <f>IF(HLOOKUP("Mins",A1:CV300,44,FALSE)=0,0,HLOOKUP("Bonus",A1:CV300,44,FALSE)/HLOOKUP("Mins",A1:CV300,44,FALSE)* 90)</f>
      </c>
      <c r="AY44" s="8085">
        <f>IF(HLOOKUP("Mins",A1:CV300,44,FALSE)=0,0,HLOOKUP("BPS",A1:CV300,44,FALSE)/HLOOKUP("Mins",A1:CV300,44,FALSE)* 90)</f>
      </c>
      <c r="AZ44" s="8086">
        <f>IF(HLOOKUP("Mins",A1:CV300,44,FALSE)=0,0,HLOOKUP("Base BPS",A1:CV300,44,FALSE)/HLOOKUP("Mins",A1:CV300,44,FALSE)* 90)</f>
      </c>
      <c r="BA44" s="8087">
        <f>IF(HLOOKUP("Mins",A1:CV300,44,FALSE)=0,0,HLOOKUP("PenTchs",A1:CV300,44,FALSE)/HLOOKUP("Mins",A1:CV300,44,FALSE)* 90)</f>
      </c>
      <c r="BB44" s="8088">
        <f>IF(HLOOKUP("Mins",A1:CV300,44,FALSE)=0,0,HLOOKUP("Shots",A1:CV300,44,FALSE)/HLOOKUP("Mins",A1:CV300,44,FALSE)* 90)</f>
      </c>
      <c r="BC44" s="8089">
        <f>IF(HLOOKUP("Mins",A1:CV300,44,FALSE)=0,0,HLOOKUP("SIB",A1:CV300,44,FALSE)/HLOOKUP("Mins",A1:CV300,44,FALSE)* 90)</f>
      </c>
      <c r="BD44" s="8090">
        <f>IF(HLOOKUP("Mins",A1:CV300,44,FALSE)=0,0,HLOOKUP("S6YD",A1:CV300,44,FALSE)/HLOOKUP("Mins",A1:CV300,44,FALSE)* 90)</f>
      </c>
      <c r="BE44" s="8091">
        <f>IF(HLOOKUP("Mins",A1:CV300,44,FALSE)=0,0,HLOOKUP("Headers",A1:CV300,44,FALSE)/HLOOKUP("Mins",A1:CV300,44,FALSE)* 90)</f>
      </c>
      <c r="BF44" s="8092">
        <f>IF(HLOOKUP("Mins",A1:CV300,44,FALSE)=0,0,HLOOKUP("SOT",A1:CV300,44,FALSE)/HLOOKUP("Mins",A1:CV300,44,FALSE)* 90)</f>
      </c>
      <c r="BG44" s="8093">
        <f>IF(HLOOKUP("Mins",A1:CV300,44,FALSE)=0,0,HLOOKUP("As",A1:CV300,44,FALSE)/HLOOKUP("Mins",A1:CV300,44,FALSE)* 90)</f>
      </c>
      <c r="BH44" s="8094">
        <f>IF(HLOOKUP("Mins",A1:CV300,44,FALSE)=0,0,HLOOKUP("FPL As",A1:CV300,44,FALSE)/HLOOKUP("Mins",A1:CV300,44,FALSE)* 90)</f>
      </c>
      <c r="BI44" s="8095">
        <f>IF(HLOOKUP("Mins",A1:CV300,44,FALSE)=0,0,HLOOKUP("BC Created",A1:CV300,44,FALSE)/HLOOKUP("Mins",A1:CV300,44,FALSE)* 90)</f>
      </c>
      <c r="BJ44" s="8096">
        <f>IF(HLOOKUP("Mins",A1:CV300,44,FALSE)=0,0,HLOOKUP("KP",A1:CV300,44,FALSE)/HLOOKUP("Mins",A1:CV300,44,FALSE)* 90)</f>
      </c>
      <c r="BK44" s="8097">
        <f>IF(HLOOKUP("Mins",A1:CV300,44,FALSE)=0,0,HLOOKUP("BC",A1:CV300,44,FALSE)/HLOOKUP("Mins",A1:CV300,44,FALSE)* 90)</f>
      </c>
      <c r="BL44" s="8098">
        <f>IF(HLOOKUP("Mins",A1:CV300,44,FALSE)=0,0,HLOOKUP("BC Miss",A1:CV300,44,FALSE)/HLOOKUP("Mins",A1:CV300,44,FALSE)* 90)</f>
      </c>
      <c r="BM44" s="8099">
        <f>IF(HLOOKUP("Mins",A1:CV300,44,FALSE)=0,0,HLOOKUP("Gs - BC",A1:CV300,44,FALSE)/HLOOKUP("Mins",A1:CV300,44,FALSE)* 90)</f>
      </c>
      <c r="BN44" s="8100">
        <f>IF(HLOOKUP("Mins",A1:CV300,44,FALSE)=0,0,HLOOKUP("GIB",A1:CV300,44,FALSE)/HLOOKUP("Mins",A1:CV300,44,FALSE)* 90)</f>
      </c>
      <c r="BO44" s="8101">
        <f>IF(HLOOKUP("Mins",A1:CV300,44,FALSE)=0,0,HLOOKUP("Gs - Open",A1:CV300,44,FALSE)/HLOOKUP("Mins",A1:CV300,44,FALSE)* 90)</f>
      </c>
      <c r="BP44" s="8102">
        <f>IF(HLOOKUP("Mins",A1:CV300,44,FALSE)=0,0,HLOOKUP("ICT Index",A1:CV300,44,FALSE)/HLOOKUP("Mins",A1:CV300,44,FALSE)* 90)</f>
      </c>
      <c r="BQ44" s="8103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8104">
        <f>0.0825*HLOOKUP("KP/90",A1:CV300,44,FALSE)</f>
      </c>
      <c r="BS44" s="8105">
        <f>6*HLOOKUP("xG/90",A1:CV300,44,FALSE)+3*HLOOKUP("xA/90",A1:CV300,44,FALSE)</f>
      </c>
      <c r="BT44" s="8106">
        <f>HLOOKUP("xPts/90",A1:CV300,44,FALSE)-(6*0.75*(HLOOKUP("PK Gs",A1:CV300,44,FALSE)+HLOOKUP("PK Miss",A1:CV300,44,FALSE))*90/HLOOKUP("Mins",A1:CV300,44,FALSE))</f>
      </c>
      <c r="BU44" s="8107">
        <f>IF(HLOOKUP("Mins",A1:CV300,44,FALSE)=0,0,HLOOKUP("fsXG",A1:CV300,44,FALSE)/HLOOKUP("Mins",A1:CV300,44,FALSE)* 90)</f>
      </c>
      <c r="BV44" s="8108">
        <f>IF(HLOOKUP("Mins",A1:CV300,44,FALSE)=0,0,HLOOKUP("fsXA",A1:CV300,44,FALSE)/HLOOKUP("Mins",A1:CV300,44,FALSE)* 90)</f>
      </c>
      <c r="BW44" s="8109">
        <f>6*HLOOKUP("fsXG/90",A1:CV300,44,FALSE)+3*HLOOKUP("fsXA/90",A1:CV300,44,FALSE)</f>
      </c>
      <c r="BX44" t="n" s="8110">
        <v>0.11163563281297684</v>
      </c>
      <c r="BY44" t="n" s="8111">
        <v>0.0</v>
      </c>
      <c r="BZ44" s="8112">
        <f>6*HLOOKUP("uXG/90",A1:CV300,44,FALSE)+3*HLOOKUP("uXA/90",A1:CV300,44,FALSE)</f>
      </c>
    </row>
    <row r="45">
      <c r="A45" t="s" s="8113">
        <v>201</v>
      </c>
      <c r="B45" t="s" s="8114">
        <v>96</v>
      </c>
      <c r="C45" t="n" s="8115">
        <v>4.199999809265137</v>
      </c>
      <c r="D45" t="n" s="8116">
        <v>90.0</v>
      </c>
      <c r="E45" t="n" s="8117">
        <v>1.0</v>
      </c>
      <c r="F45" t="n" s="8118">
        <v>29.0</v>
      </c>
      <c r="G45" t="n" s="8119">
        <v>0.0</v>
      </c>
      <c r="H45" t="n" s="8120">
        <v>0.0</v>
      </c>
      <c r="I45" t="n" s="8121">
        <v>191.0</v>
      </c>
      <c r="J45" s="8122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8123">
        <v>0.0</v>
      </c>
      <c r="L45" t="n" s="8124">
        <v>3.0</v>
      </c>
      <c r="M45" t="n" s="8125">
        <v>0.0</v>
      </c>
      <c r="N45" t="n" s="8126">
        <v>0.0</v>
      </c>
      <c r="O45" t="n" s="8127">
        <v>0.0</v>
      </c>
      <c r="P45" s="8128">
        <f>IF(HLOOKUP("Shots",A1:CV300,45,FALSE)=0,0,HLOOKUP("SIB",A1:CV300,45,FALSE)/HLOOKUP("Shots",A1:CV300,45,FALSE))</f>
      </c>
      <c r="Q45" t="n" s="8129">
        <v>0.0</v>
      </c>
      <c r="R45" s="8130">
        <f>IF(HLOOKUP("Shots",A1:CV300,45,FALSE)=0,0,HLOOKUP("S6YD",A1:CV300,45,FALSE)/HLOOKUP("Shots",A1:CV300,45,FALSE))</f>
      </c>
      <c r="S45" t="n" s="8131">
        <v>0.0</v>
      </c>
      <c r="T45" s="8132">
        <f>IF(HLOOKUP("Shots",A1:CV300,45,FALSE)=0,0,HLOOKUP("Headers",A1:CV300,45,FALSE)/HLOOKUP("Shots",A1:CV300,45,FALSE))</f>
      </c>
      <c r="U45" t="n" s="8133">
        <v>0.0</v>
      </c>
      <c r="V45" s="8134">
        <f>IF(HLOOKUP("Shots",A1:CV300,45,FALSE)=0,0,HLOOKUP("SOT",A1:CV300,45,FALSE)/HLOOKUP("Shots",A1:CV300,45,FALSE))</f>
      </c>
      <c r="W45" s="8135">
        <f>IF(HLOOKUP("Shots",A1:CV300,45,FALSE)=0,0,HLOOKUP("Gs",A1:CV300,45,FALSE)/HLOOKUP("Shots",A1:CV300,45,FALSE))</f>
      </c>
      <c r="X45" t="n" s="8136">
        <v>0.0</v>
      </c>
      <c r="Y45" t="n" s="8137">
        <v>1.0</v>
      </c>
      <c r="Z45" t="n" s="8138">
        <v>0.0</v>
      </c>
      <c r="AA45" s="8139">
        <f>IF(HLOOKUP("KP",A1:CV300,45,FALSE)=0,0,HLOOKUP("As",A1:CV300,45,FALSE)/HLOOKUP("KP",A1:CV300,45,FALSE))</f>
      </c>
      <c r="AB45" t="n" s="8140">
        <v>1.4</v>
      </c>
      <c r="AC45" t="n" s="8141">
        <v>0.0</v>
      </c>
      <c r="AD45" t="n" s="8142">
        <v>0.0</v>
      </c>
      <c r="AE45" t="n" s="8143">
        <v>0.0</v>
      </c>
      <c r="AF45" t="n" s="8144">
        <v>0.0</v>
      </c>
      <c r="AG45" s="8145">
        <f>IF(HLOOKUP("BC",A1:CV300,45,FALSE)=0,0,HLOOKUP("Gs - BC",A1:CV300,45,FALSE)/HLOOKUP("BC",A1:CV300,45,FALSE))</f>
      </c>
      <c r="AH45" s="8146">
        <f>HLOOKUP("BC",A1:CV300,45,FALSE) - HLOOKUP("BC Miss",A1:CV300,45,FALSE)</f>
      </c>
      <c r="AI45" s="8147">
        <f>IF(HLOOKUP("Gs",A1:CV300,45,FALSE)=0,0,HLOOKUP("Gs - BC",A1:CV300,45,FALSE)/HLOOKUP("Gs",A1:CV300,45,FALSE))</f>
      </c>
      <c r="AJ45" t="n" s="8148">
        <v>0.0</v>
      </c>
      <c r="AK45" t="n" s="8149">
        <v>0.0</v>
      </c>
      <c r="AL45" s="8150">
        <f>HLOOKUP("BC",A1:CV300,45,FALSE) - (HLOOKUP("PK Gs",A1:CV300,45,FALSE) + HLOOKUP("PK Miss",A1:CV300,45,FALSE))</f>
      </c>
      <c r="AM45" s="8151">
        <f>HLOOKUP("BC Miss",A1:CV300,45,FALSE) - HLOOKUP("PK Miss",A1:CV300,45,FALSE)</f>
      </c>
      <c r="AN45" s="8152">
        <f>IF(HLOOKUP("BC - Open",A1:CV300,45,FALSE)=0,0,HLOOKUP("BC - Open Miss",A1:CV300,45,FALSE)/HLOOKUP("BC - Open",A1:CV300,45,FALSE))</f>
      </c>
      <c r="AO45" t="n" s="8153">
        <v>0.0</v>
      </c>
      <c r="AP45" s="8154">
        <f>IF(HLOOKUP("Gs",A1:CV300,45,FALSE)=0,0,HLOOKUP("GIB",A1:CV300,45,FALSE)/HLOOKUP("Gs",A1:CV300,45,FALSE))</f>
      </c>
      <c r="AQ45" t="n" s="8155">
        <v>0.0</v>
      </c>
      <c r="AR45" s="8156">
        <f>IF(HLOOKUP("Gs",A1:CV300,45,FALSE)=0,0,HLOOKUP("Gs - Open",A1:CV300,45,FALSE)/HLOOKUP("Gs",A1:CV300,45,FALSE))</f>
      </c>
      <c r="AS45" t="n" s="8157">
        <v>0.0</v>
      </c>
      <c r="AT45" t="n" s="8158">
        <v>0.0</v>
      </c>
      <c r="AU45" s="8159">
        <f>IF(HLOOKUP("Mins",A1:CV300,45,FALSE)=0,0,HLOOKUP("Pts",A1:CV300,45,FALSE)/HLOOKUP("Mins",A1:CV300,45,FALSE)* 90)</f>
      </c>
      <c r="AV45" s="8160">
        <f>IF(HLOOKUP("Apps",A1:CV300,45,FALSE)=0,0,HLOOKUP("Pts",A1:CV300,45,FALSE)/HLOOKUP("Apps",A1:CV300,45,FALSE)* 1)</f>
      </c>
      <c r="AW45" s="8161">
        <f>IF(HLOOKUP("Mins",A1:CV300,45,FALSE)=0,0,HLOOKUP("Gs",A1:CV300,45,FALSE)/HLOOKUP("Mins",A1:CV300,45,FALSE)* 90)</f>
      </c>
      <c r="AX45" s="8162">
        <f>IF(HLOOKUP("Mins",A1:CV300,45,FALSE)=0,0,HLOOKUP("Bonus",A1:CV300,45,FALSE)/HLOOKUP("Mins",A1:CV300,45,FALSE)* 90)</f>
      </c>
      <c r="AY45" s="8163">
        <f>IF(HLOOKUP("Mins",A1:CV300,45,FALSE)=0,0,HLOOKUP("BPS",A1:CV300,45,FALSE)/HLOOKUP("Mins",A1:CV300,45,FALSE)* 90)</f>
      </c>
      <c r="AZ45" s="8164">
        <f>IF(HLOOKUP("Mins",A1:CV300,45,FALSE)=0,0,HLOOKUP("Base BPS",A1:CV300,45,FALSE)/HLOOKUP("Mins",A1:CV300,45,FALSE)* 90)</f>
      </c>
      <c r="BA45" s="8165">
        <f>IF(HLOOKUP("Mins",A1:CV300,45,FALSE)=0,0,HLOOKUP("PenTchs",A1:CV300,45,FALSE)/HLOOKUP("Mins",A1:CV300,45,FALSE)* 90)</f>
      </c>
      <c r="BB45" s="8166">
        <f>IF(HLOOKUP("Mins",A1:CV300,45,FALSE)=0,0,HLOOKUP("Shots",A1:CV300,45,FALSE)/HLOOKUP("Mins",A1:CV300,45,FALSE)* 90)</f>
      </c>
      <c r="BC45" s="8167">
        <f>IF(HLOOKUP("Mins",A1:CV300,45,FALSE)=0,0,HLOOKUP("SIB",A1:CV300,45,FALSE)/HLOOKUP("Mins",A1:CV300,45,FALSE)* 90)</f>
      </c>
      <c r="BD45" s="8168">
        <f>IF(HLOOKUP("Mins",A1:CV300,45,FALSE)=0,0,HLOOKUP("S6YD",A1:CV300,45,FALSE)/HLOOKUP("Mins",A1:CV300,45,FALSE)* 90)</f>
      </c>
      <c r="BE45" s="8169">
        <f>IF(HLOOKUP("Mins",A1:CV300,45,FALSE)=0,0,HLOOKUP("Headers",A1:CV300,45,FALSE)/HLOOKUP("Mins",A1:CV300,45,FALSE)* 90)</f>
      </c>
      <c r="BF45" s="8170">
        <f>IF(HLOOKUP("Mins",A1:CV300,45,FALSE)=0,0,HLOOKUP("SOT",A1:CV300,45,FALSE)/HLOOKUP("Mins",A1:CV300,45,FALSE)* 90)</f>
      </c>
      <c r="BG45" s="8171">
        <f>IF(HLOOKUP("Mins",A1:CV300,45,FALSE)=0,0,HLOOKUP("As",A1:CV300,45,FALSE)/HLOOKUP("Mins",A1:CV300,45,FALSE)* 90)</f>
      </c>
      <c r="BH45" s="8172">
        <f>IF(HLOOKUP("Mins",A1:CV300,45,FALSE)=0,0,HLOOKUP("FPL As",A1:CV300,45,FALSE)/HLOOKUP("Mins",A1:CV300,45,FALSE)* 90)</f>
      </c>
      <c r="BI45" s="8173">
        <f>IF(HLOOKUP("Mins",A1:CV300,45,FALSE)=0,0,HLOOKUP("BC Created",A1:CV300,45,FALSE)/HLOOKUP("Mins",A1:CV300,45,FALSE)* 90)</f>
      </c>
      <c r="BJ45" s="8174">
        <f>IF(HLOOKUP("Mins",A1:CV300,45,FALSE)=0,0,HLOOKUP("KP",A1:CV300,45,FALSE)/HLOOKUP("Mins",A1:CV300,45,FALSE)* 90)</f>
      </c>
      <c r="BK45" s="8175">
        <f>IF(HLOOKUP("Mins",A1:CV300,45,FALSE)=0,0,HLOOKUP("BC",A1:CV300,45,FALSE)/HLOOKUP("Mins",A1:CV300,45,FALSE)* 90)</f>
      </c>
      <c r="BL45" s="8176">
        <f>IF(HLOOKUP("Mins",A1:CV300,45,FALSE)=0,0,HLOOKUP("BC Miss",A1:CV300,45,FALSE)/HLOOKUP("Mins",A1:CV300,45,FALSE)* 90)</f>
      </c>
      <c r="BM45" s="8177">
        <f>IF(HLOOKUP("Mins",A1:CV300,45,FALSE)=0,0,HLOOKUP("Gs - BC",A1:CV300,45,FALSE)/HLOOKUP("Mins",A1:CV300,45,FALSE)* 90)</f>
      </c>
      <c r="BN45" s="8178">
        <f>IF(HLOOKUP("Mins",A1:CV300,45,FALSE)=0,0,HLOOKUP("GIB",A1:CV300,45,FALSE)/HLOOKUP("Mins",A1:CV300,45,FALSE)* 90)</f>
      </c>
      <c r="BO45" s="8179">
        <f>IF(HLOOKUP("Mins",A1:CV300,45,FALSE)=0,0,HLOOKUP("Gs - Open",A1:CV300,45,FALSE)/HLOOKUP("Mins",A1:CV300,45,FALSE)* 90)</f>
      </c>
      <c r="BP45" s="8180">
        <f>IF(HLOOKUP("Mins",A1:CV300,45,FALSE)=0,0,HLOOKUP("ICT Index",A1:CV300,45,FALSE)/HLOOKUP("Mins",A1:CV300,45,FALSE)* 90)</f>
      </c>
      <c r="BQ45" s="8181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8182">
        <f>0.0825*HLOOKUP("KP/90",A1:CV300,45,FALSE)</f>
      </c>
      <c r="BS45" s="8183">
        <f>6*HLOOKUP("xG/90",A1:CV300,45,FALSE)+3*HLOOKUP("xA/90",A1:CV300,45,FALSE)</f>
      </c>
      <c r="BT45" s="8184">
        <f>HLOOKUP("xPts/90",A1:CV300,45,FALSE)-(6*0.75*(HLOOKUP("PK Gs",A1:CV300,45,FALSE)+HLOOKUP("PK Miss",A1:CV300,45,FALSE))*90/HLOOKUP("Mins",A1:CV300,45,FALSE))</f>
      </c>
      <c r="BU45" s="8185">
        <f>IF(HLOOKUP("Mins",A1:CV300,45,FALSE)=0,0,HLOOKUP("fsXG",A1:CV300,45,FALSE)/HLOOKUP("Mins",A1:CV300,45,FALSE)* 90)</f>
      </c>
      <c r="BV45" s="8186">
        <f>IF(HLOOKUP("Mins",A1:CV300,45,FALSE)=0,0,HLOOKUP("fsXA",A1:CV300,45,FALSE)/HLOOKUP("Mins",A1:CV300,45,FALSE)* 90)</f>
      </c>
      <c r="BW45" s="8187">
        <f>6*HLOOKUP("fsXG/90",A1:CV300,45,FALSE)+3*HLOOKUP("fsXA/90",A1:CV300,45,FALSE)</f>
      </c>
      <c r="BX45" t="n" s="8188">
        <v>0.0</v>
      </c>
      <c r="BY45" t="n" s="8189">
        <v>0.0</v>
      </c>
      <c r="BZ45" s="8190">
        <f>6*HLOOKUP("uXG/90",A1:CV300,45,FALSE)+3*HLOOKUP("uXA/90",A1:CV300,45,FALSE)</f>
      </c>
    </row>
    <row r="46">
      <c r="A46" t="s" s="8191">
        <v>202</v>
      </c>
      <c r="B46" t="s" s="8192">
        <v>82</v>
      </c>
      <c r="C46" t="n" s="8193">
        <v>5.699999809265137</v>
      </c>
      <c r="D46" t="n" s="8194">
        <v>450.0</v>
      </c>
      <c r="E46" t="n" s="8195">
        <v>5.0</v>
      </c>
      <c r="F46" t="n" s="8196">
        <v>76.0</v>
      </c>
      <c r="G46" t="n" s="8197">
        <v>0.0</v>
      </c>
      <c r="H46" t="n" s="8198">
        <v>3.0</v>
      </c>
      <c r="I46" t="n" s="8199">
        <v>348.0</v>
      </c>
      <c r="J46" s="8200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8201">
        <v>0.0</v>
      </c>
      <c r="L46" t="n" s="8202">
        <v>7.0</v>
      </c>
      <c r="M46" t="n" s="8203">
        <v>7.0</v>
      </c>
      <c r="N46" t="n" s="8204">
        <v>0.0</v>
      </c>
      <c r="O46" t="n" s="8205">
        <v>0.0</v>
      </c>
      <c r="P46" s="8206">
        <f>IF(HLOOKUP("Shots",A1:CV300,46,FALSE)=0,0,HLOOKUP("SIB",A1:CV300,46,FALSE)/HLOOKUP("Shots",A1:CV300,46,FALSE))</f>
      </c>
      <c r="Q46" t="n" s="8207">
        <v>0.0</v>
      </c>
      <c r="R46" s="8208">
        <f>IF(HLOOKUP("Shots",A1:CV300,46,FALSE)=0,0,HLOOKUP("S6YD",A1:CV300,46,FALSE)/HLOOKUP("Shots",A1:CV300,46,FALSE))</f>
      </c>
      <c r="S46" t="n" s="8209">
        <v>0.0</v>
      </c>
      <c r="T46" s="8210">
        <f>IF(HLOOKUP("Shots",A1:CV300,46,FALSE)=0,0,HLOOKUP("Headers",A1:CV300,46,FALSE)/HLOOKUP("Shots",A1:CV300,46,FALSE))</f>
      </c>
      <c r="U46" t="n" s="8211">
        <v>0.0</v>
      </c>
      <c r="V46" s="8212">
        <f>IF(HLOOKUP("Shots",A1:CV300,46,FALSE)=0,0,HLOOKUP("SOT",A1:CV300,46,FALSE)/HLOOKUP("Shots",A1:CV300,46,FALSE))</f>
      </c>
      <c r="W46" s="8213">
        <f>IF(HLOOKUP("Shots",A1:CV300,46,FALSE)=0,0,HLOOKUP("Gs",A1:CV300,46,FALSE)/HLOOKUP("Shots",A1:CV300,46,FALSE))</f>
      </c>
      <c r="X46" t="n" s="8214">
        <v>0.0</v>
      </c>
      <c r="Y46" t="n" s="8215">
        <v>3.0</v>
      </c>
      <c r="Z46" t="n" s="8216">
        <v>3.0</v>
      </c>
      <c r="AA46" s="8217">
        <f>IF(HLOOKUP("KP",A1:CV300,46,FALSE)=0,0,HLOOKUP("As",A1:CV300,46,FALSE)/HLOOKUP("KP",A1:CV300,46,FALSE))</f>
      </c>
      <c r="AB46" t="n" s="8218">
        <v>14.6</v>
      </c>
      <c r="AC46" t="n" s="8219">
        <v>0.0</v>
      </c>
      <c r="AD46" t="n" s="8220">
        <v>0.0</v>
      </c>
      <c r="AE46" t="n" s="8221">
        <v>0.0</v>
      </c>
      <c r="AF46" t="n" s="8222">
        <v>0.0</v>
      </c>
      <c r="AG46" s="8223">
        <f>IF(HLOOKUP("BC",A1:CV300,46,FALSE)=0,0,HLOOKUP("Gs - BC",A1:CV300,46,FALSE)/HLOOKUP("BC",A1:CV300,46,FALSE))</f>
      </c>
      <c r="AH46" s="8224">
        <f>HLOOKUP("BC",A1:CV300,46,FALSE) - HLOOKUP("BC Miss",A1:CV300,46,FALSE)</f>
      </c>
      <c r="AI46" s="8225">
        <f>IF(HLOOKUP("Gs",A1:CV300,46,FALSE)=0,0,HLOOKUP("Gs - BC",A1:CV300,46,FALSE)/HLOOKUP("Gs",A1:CV300,46,FALSE))</f>
      </c>
      <c r="AJ46" t="n" s="8226">
        <v>0.0</v>
      </c>
      <c r="AK46" t="n" s="8227">
        <v>0.0</v>
      </c>
      <c r="AL46" s="8228">
        <f>HLOOKUP("BC",A1:CV300,46,FALSE) - (HLOOKUP("PK Gs",A1:CV300,46,FALSE) + HLOOKUP("PK Miss",A1:CV300,46,FALSE))</f>
      </c>
      <c r="AM46" s="8229">
        <f>HLOOKUP("BC Miss",A1:CV300,46,FALSE) - HLOOKUP("PK Miss",A1:CV300,46,FALSE)</f>
      </c>
      <c r="AN46" s="8230">
        <f>IF(HLOOKUP("BC - Open",A1:CV300,46,FALSE)=0,0,HLOOKUP("BC - Open Miss",A1:CV300,46,FALSE)/HLOOKUP("BC - Open",A1:CV300,46,FALSE))</f>
      </c>
      <c r="AO46" t="n" s="8231">
        <v>0.0</v>
      </c>
      <c r="AP46" s="8232">
        <f>IF(HLOOKUP("Gs",A1:CV300,46,FALSE)=0,0,HLOOKUP("GIB",A1:CV300,46,FALSE)/HLOOKUP("Gs",A1:CV300,46,FALSE))</f>
      </c>
      <c r="AQ46" t="n" s="8233">
        <v>0.0</v>
      </c>
      <c r="AR46" s="8234">
        <f>IF(HLOOKUP("Gs",A1:CV300,46,FALSE)=0,0,HLOOKUP("Gs - Open",A1:CV300,46,FALSE)/HLOOKUP("Gs",A1:CV300,46,FALSE))</f>
      </c>
      <c r="AS46" t="n" s="8235">
        <v>0.0</v>
      </c>
      <c r="AT46" t="n" s="8236">
        <v>0.46</v>
      </c>
      <c r="AU46" s="8237">
        <f>IF(HLOOKUP("Mins",A1:CV300,46,FALSE)=0,0,HLOOKUP("Pts",A1:CV300,46,FALSE)/HLOOKUP("Mins",A1:CV300,46,FALSE)* 90)</f>
      </c>
      <c r="AV46" s="8238">
        <f>IF(HLOOKUP("Apps",A1:CV300,46,FALSE)=0,0,HLOOKUP("Pts",A1:CV300,46,FALSE)/HLOOKUP("Apps",A1:CV300,46,FALSE)* 1)</f>
      </c>
      <c r="AW46" s="8239">
        <f>IF(HLOOKUP("Mins",A1:CV300,46,FALSE)=0,0,HLOOKUP("Gs",A1:CV300,46,FALSE)/HLOOKUP("Mins",A1:CV300,46,FALSE)* 90)</f>
      </c>
      <c r="AX46" s="8240">
        <f>IF(HLOOKUP("Mins",A1:CV300,46,FALSE)=0,0,HLOOKUP("Bonus",A1:CV300,46,FALSE)/HLOOKUP("Mins",A1:CV300,46,FALSE)* 90)</f>
      </c>
      <c r="AY46" s="8241">
        <f>IF(HLOOKUP("Mins",A1:CV300,46,FALSE)=0,0,HLOOKUP("BPS",A1:CV300,46,FALSE)/HLOOKUP("Mins",A1:CV300,46,FALSE)* 90)</f>
      </c>
      <c r="AZ46" s="8242">
        <f>IF(HLOOKUP("Mins",A1:CV300,46,FALSE)=0,0,HLOOKUP("Base BPS",A1:CV300,46,FALSE)/HLOOKUP("Mins",A1:CV300,46,FALSE)* 90)</f>
      </c>
      <c r="BA46" s="8243">
        <f>IF(HLOOKUP("Mins",A1:CV300,46,FALSE)=0,0,HLOOKUP("PenTchs",A1:CV300,46,FALSE)/HLOOKUP("Mins",A1:CV300,46,FALSE)* 90)</f>
      </c>
      <c r="BB46" s="8244">
        <f>IF(HLOOKUP("Mins",A1:CV300,46,FALSE)=0,0,HLOOKUP("Shots",A1:CV300,46,FALSE)/HLOOKUP("Mins",A1:CV300,46,FALSE)* 90)</f>
      </c>
      <c r="BC46" s="8245">
        <f>IF(HLOOKUP("Mins",A1:CV300,46,FALSE)=0,0,HLOOKUP("SIB",A1:CV300,46,FALSE)/HLOOKUP("Mins",A1:CV300,46,FALSE)* 90)</f>
      </c>
      <c r="BD46" s="8246">
        <f>IF(HLOOKUP("Mins",A1:CV300,46,FALSE)=0,0,HLOOKUP("S6YD",A1:CV300,46,FALSE)/HLOOKUP("Mins",A1:CV300,46,FALSE)* 90)</f>
      </c>
      <c r="BE46" s="8247">
        <f>IF(HLOOKUP("Mins",A1:CV300,46,FALSE)=0,0,HLOOKUP("Headers",A1:CV300,46,FALSE)/HLOOKUP("Mins",A1:CV300,46,FALSE)* 90)</f>
      </c>
      <c r="BF46" s="8248">
        <f>IF(HLOOKUP("Mins",A1:CV300,46,FALSE)=0,0,HLOOKUP("SOT",A1:CV300,46,FALSE)/HLOOKUP("Mins",A1:CV300,46,FALSE)* 90)</f>
      </c>
      <c r="BG46" s="8249">
        <f>IF(HLOOKUP("Mins",A1:CV300,46,FALSE)=0,0,HLOOKUP("As",A1:CV300,46,FALSE)/HLOOKUP("Mins",A1:CV300,46,FALSE)* 90)</f>
      </c>
      <c r="BH46" s="8250">
        <f>IF(HLOOKUP("Mins",A1:CV300,46,FALSE)=0,0,HLOOKUP("FPL As",A1:CV300,46,FALSE)/HLOOKUP("Mins",A1:CV300,46,FALSE)* 90)</f>
      </c>
      <c r="BI46" s="8251">
        <f>IF(HLOOKUP("Mins",A1:CV300,46,FALSE)=0,0,HLOOKUP("BC Created",A1:CV300,46,FALSE)/HLOOKUP("Mins",A1:CV300,46,FALSE)* 90)</f>
      </c>
      <c r="BJ46" s="8252">
        <f>IF(HLOOKUP("Mins",A1:CV300,46,FALSE)=0,0,HLOOKUP("KP",A1:CV300,46,FALSE)/HLOOKUP("Mins",A1:CV300,46,FALSE)* 90)</f>
      </c>
      <c r="BK46" s="8253">
        <f>IF(HLOOKUP("Mins",A1:CV300,46,FALSE)=0,0,HLOOKUP("BC",A1:CV300,46,FALSE)/HLOOKUP("Mins",A1:CV300,46,FALSE)* 90)</f>
      </c>
      <c r="BL46" s="8254">
        <f>IF(HLOOKUP("Mins",A1:CV300,46,FALSE)=0,0,HLOOKUP("BC Miss",A1:CV300,46,FALSE)/HLOOKUP("Mins",A1:CV300,46,FALSE)* 90)</f>
      </c>
      <c r="BM46" s="8255">
        <f>IF(HLOOKUP("Mins",A1:CV300,46,FALSE)=0,0,HLOOKUP("Gs - BC",A1:CV300,46,FALSE)/HLOOKUP("Mins",A1:CV300,46,FALSE)* 90)</f>
      </c>
      <c r="BN46" s="8256">
        <f>IF(HLOOKUP("Mins",A1:CV300,46,FALSE)=0,0,HLOOKUP("GIB",A1:CV300,46,FALSE)/HLOOKUP("Mins",A1:CV300,46,FALSE)* 90)</f>
      </c>
      <c r="BO46" s="8257">
        <f>IF(HLOOKUP("Mins",A1:CV300,46,FALSE)=0,0,HLOOKUP("Gs - Open",A1:CV300,46,FALSE)/HLOOKUP("Mins",A1:CV300,46,FALSE)* 90)</f>
      </c>
      <c r="BP46" s="8258">
        <f>IF(HLOOKUP("Mins",A1:CV300,46,FALSE)=0,0,HLOOKUP("ICT Index",A1:CV300,46,FALSE)/HLOOKUP("Mins",A1:CV300,46,FALSE)* 90)</f>
      </c>
      <c r="BQ46" s="8259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8260">
        <f>0.0825*HLOOKUP("KP/90",A1:CV300,46,FALSE)</f>
      </c>
      <c r="BS46" s="8261">
        <f>6*HLOOKUP("xG/90",A1:CV300,46,FALSE)+3*HLOOKUP("xA/90",A1:CV300,46,FALSE)</f>
      </c>
      <c r="BT46" s="8262">
        <f>HLOOKUP("xPts/90",A1:CV300,46,FALSE)-(6*0.75*(HLOOKUP("PK Gs",A1:CV300,46,FALSE)+HLOOKUP("PK Miss",A1:CV300,46,FALSE))*90/HLOOKUP("Mins",A1:CV300,46,FALSE))</f>
      </c>
      <c r="BU46" s="8263">
        <f>IF(HLOOKUP("Mins",A1:CV300,46,FALSE)=0,0,HLOOKUP("fsXG",A1:CV300,46,FALSE)/HLOOKUP("Mins",A1:CV300,46,FALSE)* 90)</f>
      </c>
      <c r="BV46" s="8264">
        <f>IF(HLOOKUP("Mins",A1:CV300,46,FALSE)=0,0,HLOOKUP("fsXA",A1:CV300,46,FALSE)/HLOOKUP("Mins",A1:CV300,46,FALSE)* 90)</f>
      </c>
      <c r="BW46" s="8265">
        <f>6*HLOOKUP("fsXG/90",A1:CV300,46,FALSE)+3*HLOOKUP("fsXA/90",A1:CV300,46,FALSE)</f>
      </c>
      <c r="BX46" t="n" s="8266">
        <v>0.0</v>
      </c>
      <c r="BY46" t="n" s="8267">
        <v>0.02822135202586651</v>
      </c>
      <c r="BZ46" s="8268">
        <f>6*HLOOKUP("uXG/90",A1:CV300,46,FALSE)+3*HLOOKUP("uXA/90",A1:CV300,46,FALSE)</f>
      </c>
    </row>
    <row r="47">
      <c r="A47" t="s" s="8269">
        <v>203</v>
      </c>
      <c r="B47" t="s" s="8270">
        <v>90</v>
      </c>
      <c r="C47" t="n" s="8271">
        <v>4.400000095367432</v>
      </c>
      <c r="D47" t="n" s="8272">
        <v>90.0</v>
      </c>
      <c r="E47" t="n" s="8273">
        <v>1.0</v>
      </c>
      <c r="F47" t="n" s="8274">
        <v>21.0</v>
      </c>
      <c r="G47" t="n" s="8275">
        <v>0.0</v>
      </c>
      <c r="H47" t="n" s="8276">
        <v>0.0</v>
      </c>
      <c r="I47" t="n" s="8277">
        <v>266.0</v>
      </c>
      <c r="J47" s="8278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8279">
        <v>0.0</v>
      </c>
      <c r="L47" t="n" s="8280">
        <v>1.0</v>
      </c>
      <c r="M47" t="n" s="8281">
        <v>0.0</v>
      </c>
      <c r="N47" t="n" s="8282">
        <v>0.0</v>
      </c>
      <c r="O47" t="n" s="8283">
        <v>0.0</v>
      </c>
      <c r="P47" s="8284">
        <f>IF(HLOOKUP("Shots",A1:CV300,47,FALSE)=0,0,HLOOKUP("SIB",A1:CV300,47,FALSE)/HLOOKUP("Shots",A1:CV300,47,FALSE))</f>
      </c>
      <c r="Q47" t="n" s="8285">
        <v>0.0</v>
      </c>
      <c r="R47" s="8286">
        <f>IF(HLOOKUP("Shots",A1:CV300,47,FALSE)=0,0,HLOOKUP("S6YD",A1:CV300,47,FALSE)/HLOOKUP("Shots",A1:CV300,47,FALSE))</f>
      </c>
      <c r="S47" t="n" s="8287">
        <v>0.0</v>
      </c>
      <c r="T47" s="8288">
        <f>IF(HLOOKUP("Shots",A1:CV300,47,FALSE)=0,0,HLOOKUP("Headers",A1:CV300,47,FALSE)/HLOOKUP("Shots",A1:CV300,47,FALSE))</f>
      </c>
      <c r="U47" t="n" s="8289">
        <v>0.0</v>
      </c>
      <c r="V47" s="8290">
        <f>IF(HLOOKUP("Shots",A1:CV300,47,FALSE)=0,0,HLOOKUP("SOT",A1:CV300,47,FALSE)/HLOOKUP("Shots",A1:CV300,47,FALSE))</f>
      </c>
      <c r="W47" s="8291">
        <f>IF(HLOOKUP("Shots",A1:CV300,47,FALSE)=0,0,HLOOKUP("Gs",A1:CV300,47,FALSE)/HLOOKUP("Shots",A1:CV300,47,FALSE))</f>
      </c>
      <c r="X47" t="n" s="8292">
        <v>0.0</v>
      </c>
      <c r="Y47" t="n" s="8293">
        <v>0.0</v>
      </c>
      <c r="Z47" t="n" s="8294">
        <v>0.0</v>
      </c>
      <c r="AA47" s="8295">
        <f>IF(HLOOKUP("KP",A1:CV300,47,FALSE)=0,0,HLOOKUP("As",A1:CV300,47,FALSE)/HLOOKUP("KP",A1:CV300,47,FALSE))</f>
      </c>
      <c r="AB47" t="n" s="8296">
        <v>2.3</v>
      </c>
      <c r="AC47" t="n" s="8297">
        <v>0.0</v>
      </c>
      <c r="AD47" t="n" s="8298">
        <v>0.0</v>
      </c>
      <c r="AE47" t="n" s="8299">
        <v>0.0</v>
      </c>
      <c r="AF47" t="n" s="8300">
        <v>0.0</v>
      </c>
      <c r="AG47" s="8301">
        <f>IF(HLOOKUP("BC",A1:CV300,47,FALSE)=0,0,HLOOKUP("Gs - BC",A1:CV300,47,FALSE)/HLOOKUP("BC",A1:CV300,47,FALSE))</f>
      </c>
      <c r="AH47" s="8302">
        <f>HLOOKUP("BC",A1:CV300,47,FALSE) - HLOOKUP("BC Miss",A1:CV300,47,FALSE)</f>
      </c>
      <c r="AI47" s="8303">
        <f>IF(HLOOKUP("Gs",A1:CV300,47,FALSE)=0,0,HLOOKUP("Gs - BC",A1:CV300,47,FALSE)/HLOOKUP("Gs",A1:CV300,47,FALSE))</f>
      </c>
      <c r="AJ47" t="n" s="8304">
        <v>0.0</v>
      </c>
      <c r="AK47" t="n" s="8305">
        <v>0.0</v>
      </c>
      <c r="AL47" s="8306">
        <f>HLOOKUP("BC",A1:CV300,47,FALSE) - (HLOOKUP("PK Gs",A1:CV300,47,FALSE) + HLOOKUP("PK Miss",A1:CV300,47,FALSE))</f>
      </c>
      <c r="AM47" s="8307">
        <f>HLOOKUP("BC Miss",A1:CV300,47,FALSE) - HLOOKUP("PK Miss",A1:CV300,47,FALSE)</f>
      </c>
      <c r="AN47" s="8308">
        <f>IF(HLOOKUP("BC - Open",A1:CV300,47,FALSE)=0,0,HLOOKUP("BC - Open Miss",A1:CV300,47,FALSE)/HLOOKUP("BC - Open",A1:CV300,47,FALSE))</f>
      </c>
      <c r="AO47" t="n" s="8309">
        <v>0.0</v>
      </c>
      <c r="AP47" s="8310">
        <f>IF(HLOOKUP("Gs",A1:CV300,47,FALSE)=0,0,HLOOKUP("GIB",A1:CV300,47,FALSE)/HLOOKUP("Gs",A1:CV300,47,FALSE))</f>
      </c>
      <c r="AQ47" t="n" s="8311">
        <v>0.0</v>
      </c>
      <c r="AR47" s="8312">
        <f>IF(HLOOKUP("Gs",A1:CV300,47,FALSE)=0,0,HLOOKUP("Gs - Open",A1:CV300,47,FALSE)/HLOOKUP("Gs",A1:CV300,47,FALSE))</f>
      </c>
      <c r="AS47" t="n" s="8313">
        <v>0.0</v>
      </c>
      <c r="AT47" t="n" s="8314">
        <v>0.18</v>
      </c>
      <c r="AU47" s="8315">
        <f>IF(HLOOKUP("Mins",A1:CV300,47,FALSE)=0,0,HLOOKUP("Pts",A1:CV300,47,FALSE)/HLOOKUP("Mins",A1:CV300,47,FALSE)* 90)</f>
      </c>
      <c r="AV47" s="8316">
        <f>IF(HLOOKUP("Apps",A1:CV300,47,FALSE)=0,0,HLOOKUP("Pts",A1:CV300,47,FALSE)/HLOOKUP("Apps",A1:CV300,47,FALSE)* 1)</f>
      </c>
      <c r="AW47" s="8317">
        <f>IF(HLOOKUP("Mins",A1:CV300,47,FALSE)=0,0,HLOOKUP("Gs",A1:CV300,47,FALSE)/HLOOKUP("Mins",A1:CV300,47,FALSE)* 90)</f>
      </c>
      <c r="AX47" s="8318">
        <f>IF(HLOOKUP("Mins",A1:CV300,47,FALSE)=0,0,HLOOKUP("Bonus",A1:CV300,47,FALSE)/HLOOKUP("Mins",A1:CV300,47,FALSE)* 90)</f>
      </c>
      <c r="AY47" s="8319">
        <f>IF(HLOOKUP("Mins",A1:CV300,47,FALSE)=0,0,HLOOKUP("BPS",A1:CV300,47,FALSE)/HLOOKUP("Mins",A1:CV300,47,FALSE)* 90)</f>
      </c>
      <c r="AZ47" s="8320">
        <f>IF(HLOOKUP("Mins",A1:CV300,47,FALSE)=0,0,HLOOKUP("Base BPS",A1:CV300,47,FALSE)/HLOOKUP("Mins",A1:CV300,47,FALSE)* 90)</f>
      </c>
      <c r="BA47" s="8321">
        <f>IF(HLOOKUP("Mins",A1:CV300,47,FALSE)=0,0,HLOOKUP("PenTchs",A1:CV300,47,FALSE)/HLOOKUP("Mins",A1:CV300,47,FALSE)* 90)</f>
      </c>
      <c r="BB47" s="8322">
        <f>IF(HLOOKUP("Mins",A1:CV300,47,FALSE)=0,0,HLOOKUP("Shots",A1:CV300,47,FALSE)/HLOOKUP("Mins",A1:CV300,47,FALSE)* 90)</f>
      </c>
      <c r="BC47" s="8323">
        <f>IF(HLOOKUP("Mins",A1:CV300,47,FALSE)=0,0,HLOOKUP("SIB",A1:CV300,47,FALSE)/HLOOKUP("Mins",A1:CV300,47,FALSE)* 90)</f>
      </c>
      <c r="BD47" s="8324">
        <f>IF(HLOOKUP("Mins",A1:CV300,47,FALSE)=0,0,HLOOKUP("S6YD",A1:CV300,47,FALSE)/HLOOKUP("Mins",A1:CV300,47,FALSE)* 90)</f>
      </c>
      <c r="BE47" s="8325">
        <f>IF(HLOOKUP("Mins",A1:CV300,47,FALSE)=0,0,HLOOKUP("Headers",A1:CV300,47,FALSE)/HLOOKUP("Mins",A1:CV300,47,FALSE)* 90)</f>
      </c>
      <c r="BF47" s="8326">
        <f>IF(HLOOKUP("Mins",A1:CV300,47,FALSE)=0,0,HLOOKUP("SOT",A1:CV300,47,FALSE)/HLOOKUP("Mins",A1:CV300,47,FALSE)* 90)</f>
      </c>
      <c r="BG47" s="8327">
        <f>IF(HLOOKUP("Mins",A1:CV300,47,FALSE)=0,0,HLOOKUP("As",A1:CV300,47,FALSE)/HLOOKUP("Mins",A1:CV300,47,FALSE)* 90)</f>
      </c>
      <c r="BH47" s="8328">
        <f>IF(HLOOKUP("Mins",A1:CV300,47,FALSE)=0,0,HLOOKUP("FPL As",A1:CV300,47,FALSE)/HLOOKUP("Mins",A1:CV300,47,FALSE)* 90)</f>
      </c>
      <c r="BI47" s="8329">
        <f>IF(HLOOKUP("Mins",A1:CV300,47,FALSE)=0,0,HLOOKUP("BC Created",A1:CV300,47,FALSE)/HLOOKUP("Mins",A1:CV300,47,FALSE)* 90)</f>
      </c>
      <c r="BJ47" s="8330">
        <f>IF(HLOOKUP("Mins",A1:CV300,47,FALSE)=0,0,HLOOKUP("KP",A1:CV300,47,FALSE)/HLOOKUP("Mins",A1:CV300,47,FALSE)* 90)</f>
      </c>
      <c r="BK47" s="8331">
        <f>IF(HLOOKUP("Mins",A1:CV300,47,FALSE)=0,0,HLOOKUP("BC",A1:CV300,47,FALSE)/HLOOKUP("Mins",A1:CV300,47,FALSE)* 90)</f>
      </c>
      <c r="BL47" s="8332">
        <f>IF(HLOOKUP("Mins",A1:CV300,47,FALSE)=0,0,HLOOKUP("BC Miss",A1:CV300,47,FALSE)/HLOOKUP("Mins",A1:CV300,47,FALSE)* 90)</f>
      </c>
      <c r="BM47" s="8333">
        <f>IF(HLOOKUP("Mins",A1:CV300,47,FALSE)=0,0,HLOOKUP("Gs - BC",A1:CV300,47,FALSE)/HLOOKUP("Mins",A1:CV300,47,FALSE)* 90)</f>
      </c>
      <c r="BN47" s="8334">
        <f>IF(HLOOKUP("Mins",A1:CV300,47,FALSE)=0,0,HLOOKUP("GIB",A1:CV300,47,FALSE)/HLOOKUP("Mins",A1:CV300,47,FALSE)* 90)</f>
      </c>
      <c r="BO47" s="8335">
        <f>IF(HLOOKUP("Mins",A1:CV300,47,FALSE)=0,0,HLOOKUP("Gs - Open",A1:CV300,47,FALSE)/HLOOKUP("Mins",A1:CV300,47,FALSE)* 90)</f>
      </c>
      <c r="BP47" s="8336">
        <f>IF(HLOOKUP("Mins",A1:CV300,47,FALSE)=0,0,HLOOKUP("ICT Index",A1:CV300,47,FALSE)/HLOOKUP("Mins",A1:CV300,47,FALSE)* 90)</f>
      </c>
      <c r="BQ47" s="8337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8338">
        <f>0.0825*HLOOKUP("KP/90",A1:CV300,47,FALSE)</f>
      </c>
      <c r="BS47" s="8339">
        <f>6*HLOOKUP("xG/90",A1:CV300,47,FALSE)+3*HLOOKUP("xA/90",A1:CV300,47,FALSE)</f>
      </c>
      <c r="BT47" s="8340">
        <f>HLOOKUP("xPts/90",A1:CV300,47,FALSE)-(6*0.75*(HLOOKUP("PK Gs",A1:CV300,47,FALSE)+HLOOKUP("PK Miss",A1:CV300,47,FALSE))*90/HLOOKUP("Mins",A1:CV300,47,FALSE))</f>
      </c>
      <c r="BU47" s="8341">
        <f>IF(HLOOKUP("Mins",A1:CV300,47,FALSE)=0,0,HLOOKUP("fsXG",A1:CV300,47,FALSE)/HLOOKUP("Mins",A1:CV300,47,FALSE)* 90)</f>
      </c>
      <c r="BV47" s="8342">
        <f>IF(HLOOKUP("Mins",A1:CV300,47,FALSE)=0,0,HLOOKUP("fsXA",A1:CV300,47,FALSE)/HLOOKUP("Mins",A1:CV300,47,FALSE)* 90)</f>
      </c>
      <c r="BW47" s="8343">
        <f>6*HLOOKUP("fsXG/90",A1:CV300,47,FALSE)+3*HLOOKUP("fsXA/90",A1:CV300,47,FALSE)</f>
      </c>
      <c r="BX47" t="n" s="8344">
        <v>0.0</v>
      </c>
      <c r="BY47" t="n" s="8345">
        <v>0.0</v>
      </c>
      <c r="BZ47" s="8346">
        <f>6*HLOOKUP("uXG/90",A1:CV300,47,FALSE)+3*HLOOKUP("uXA/90",A1:CV300,47,FALSE)</f>
      </c>
    </row>
    <row r="48">
      <c r="A48" t="s" s="8347">
        <v>204</v>
      </c>
      <c r="B48" t="s" s="8348">
        <v>94</v>
      </c>
      <c r="C48" t="n" s="8349">
        <v>5.300000190734863</v>
      </c>
      <c r="D48" t="n" s="8350">
        <v>540.0</v>
      </c>
      <c r="E48" t="n" s="8351">
        <v>6.0</v>
      </c>
      <c r="F48" t="n" s="8352">
        <v>44.0</v>
      </c>
      <c r="G48" t="n" s="8353">
        <v>0.0</v>
      </c>
      <c r="H48" t="n" s="8354">
        <v>1.0</v>
      </c>
      <c r="I48" t="n" s="8355">
        <v>350.0</v>
      </c>
      <c r="J48" s="8356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8357">
        <v>0.0</v>
      </c>
      <c r="L48" t="n" s="8358">
        <v>2.0</v>
      </c>
      <c r="M48" t="n" s="8359">
        <v>4.0</v>
      </c>
      <c r="N48" t="n" s="8360">
        <v>1.0</v>
      </c>
      <c r="O48" t="n" s="8361">
        <v>1.0</v>
      </c>
      <c r="P48" s="8362">
        <f>IF(HLOOKUP("Shots",A1:CV300,48,FALSE)=0,0,HLOOKUP("SIB",A1:CV300,48,FALSE)/HLOOKUP("Shots",A1:CV300,48,FALSE))</f>
      </c>
      <c r="Q48" t="n" s="8363">
        <v>0.0</v>
      </c>
      <c r="R48" s="8364">
        <f>IF(HLOOKUP("Shots",A1:CV300,48,FALSE)=0,0,HLOOKUP("S6YD",A1:CV300,48,FALSE)/HLOOKUP("Shots",A1:CV300,48,FALSE))</f>
      </c>
      <c r="S48" t="n" s="8365">
        <v>1.0</v>
      </c>
      <c r="T48" s="8366">
        <f>IF(HLOOKUP("Shots",A1:CV300,48,FALSE)=0,0,HLOOKUP("Headers",A1:CV300,48,FALSE)/HLOOKUP("Shots",A1:CV300,48,FALSE))</f>
      </c>
      <c r="U48" t="n" s="8367">
        <v>0.0</v>
      </c>
      <c r="V48" s="8368">
        <f>IF(HLOOKUP("Shots",A1:CV300,48,FALSE)=0,0,HLOOKUP("SOT",A1:CV300,48,FALSE)/HLOOKUP("Shots",A1:CV300,48,FALSE))</f>
      </c>
      <c r="W48" s="8369">
        <f>IF(HLOOKUP("Shots",A1:CV300,48,FALSE)=0,0,HLOOKUP("Gs",A1:CV300,48,FALSE)/HLOOKUP("Shots",A1:CV300,48,FALSE))</f>
      </c>
      <c r="X48" t="n" s="8370">
        <v>0.0</v>
      </c>
      <c r="Y48" t="n" s="8371">
        <v>2.0</v>
      </c>
      <c r="Z48" t="n" s="8372">
        <v>2.0</v>
      </c>
      <c r="AA48" s="8373">
        <f>IF(HLOOKUP("KP",A1:CV300,48,FALSE)=0,0,HLOOKUP("As",A1:CV300,48,FALSE)/HLOOKUP("KP",A1:CV300,48,FALSE))</f>
      </c>
      <c r="AB48" t="n" s="8374">
        <v>17.1</v>
      </c>
      <c r="AC48" t="n" s="8375">
        <v>0.0</v>
      </c>
      <c r="AD48" t="n" s="8376">
        <v>1.0</v>
      </c>
      <c r="AE48" t="n" s="8377">
        <v>0.0</v>
      </c>
      <c r="AF48" t="n" s="8378">
        <v>0.0</v>
      </c>
      <c r="AG48" s="8379">
        <f>IF(HLOOKUP("BC",A1:CV300,48,FALSE)=0,0,HLOOKUP("Gs - BC",A1:CV300,48,FALSE)/HLOOKUP("BC",A1:CV300,48,FALSE))</f>
      </c>
      <c r="AH48" s="8380">
        <f>HLOOKUP("BC",A1:CV300,48,FALSE) - HLOOKUP("BC Miss",A1:CV300,48,FALSE)</f>
      </c>
      <c r="AI48" s="8381">
        <f>IF(HLOOKUP("Gs",A1:CV300,48,FALSE)=0,0,HLOOKUP("Gs - BC",A1:CV300,48,FALSE)/HLOOKUP("Gs",A1:CV300,48,FALSE))</f>
      </c>
      <c r="AJ48" t="n" s="8382">
        <v>0.0</v>
      </c>
      <c r="AK48" t="n" s="8383">
        <v>0.0</v>
      </c>
      <c r="AL48" s="8384">
        <f>HLOOKUP("BC",A1:CV300,48,FALSE) - (HLOOKUP("PK Gs",A1:CV300,48,FALSE) + HLOOKUP("PK Miss",A1:CV300,48,FALSE))</f>
      </c>
      <c r="AM48" s="8385">
        <f>HLOOKUP("BC Miss",A1:CV300,48,FALSE) - HLOOKUP("PK Miss",A1:CV300,48,FALSE)</f>
      </c>
      <c r="AN48" s="8386">
        <f>IF(HLOOKUP("BC - Open",A1:CV300,48,FALSE)=0,0,HLOOKUP("BC - Open Miss",A1:CV300,48,FALSE)/HLOOKUP("BC - Open",A1:CV300,48,FALSE))</f>
      </c>
      <c r="AO48" t="n" s="8387">
        <v>0.0</v>
      </c>
      <c r="AP48" s="8388">
        <f>IF(HLOOKUP("Gs",A1:CV300,48,FALSE)=0,0,HLOOKUP("GIB",A1:CV300,48,FALSE)/HLOOKUP("Gs",A1:CV300,48,FALSE))</f>
      </c>
      <c r="AQ48" t="n" s="8389">
        <v>0.0</v>
      </c>
      <c r="AR48" s="8390">
        <f>IF(HLOOKUP("Gs",A1:CV300,48,FALSE)=0,0,HLOOKUP("Gs - Open",A1:CV300,48,FALSE)/HLOOKUP("Gs",A1:CV300,48,FALSE))</f>
      </c>
      <c r="AS48" t="n" s="8391">
        <v>0.05</v>
      </c>
      <c r="AT48" t="n" s="8392">
        <v>0.64</v>
      </c>
      <c r="AU48" s="8393">
        <f>IF(HLOOKUP("Mins",A1:CV300,48,FALSE)=0,0,HLOOKUP("Pts",A1:CV300,48,FALSE)/HLOOKUP("Mins",A1:CV300,48,FALSE)* 90)</f>
      </c>
      <c r="AV48" s="8394">
        <f>IF(HLOOKUP("Apps",A1:CV300,48,FALSE)=0,0,HLOOKUP("Pts",A1:CV300,48,FALSE)/HLOOKUP("Apps",A1:CV300,48,FALSE)* 1)</f>
      </c>
      <c r="AW48" s="8395">
        <f>IF(HLOOKUP("Mins",A1:CV300,48,FALSE)=0,0,HLOOKUP("Gs",A1:CV300,48,FALSE)/HLOOKUP("Mins",A1:CV300,48,FALSE)* 90)</f>
      </c>
      <c r="AX48" s="8396">
        <f>IF(HLOOKUP("Mins",A1:CV300,48,FALSE)=0,0,HLOOKUP("Bonus",A1:CV300,48,FALSE)/HLOOKUP("Mins",A1:CV300,48,FALSE)* 90)</f>
      </c>
      <c r="AY48" s="8397">
        <f>IF(HLOOKUP("Mins",A1:CV300,48,FALSE)=0,0,HLOOKUP("BPS",A1:CV300,48,FALSE)/HLOOKUP("Mins",A1:CV300,48,FALSE)* 90)</f>
      </c>
      <c r="AZ48" s="8398">
        <f>IF(HLOOKUP("Mins",A1:CV300,48,FALSE)=0,0,HLOOKUP("Base BPS",A1:CV300,48,FALSE)/HLOOKUP("Mins",A1:CV300,48,FALSE)* 90)</f>
      </c>
      <c r="BA48" s="8399">
        <f>IF(HLOOKUP("Mins",A1:CV300,48,FALSE)=0,0,HLOOKUP("PenTchs",A1:CV300,48,FALSE)/HLOOKUP("Mins",A1:CV300,48,FALSE)* 90)</f>
      </c>
      <c r="BB48" s="8400">
        <f>IF(HLOOKUP("Mins",A1:CV300,48,FALSE)=0,0,HLOOKUP("Shots",A1:CV300,48,FALSE)/HLOOKUP("Mins",A1:CV300,48,FALSE)* 90)</f>
      </c>
      <c r="BC48" s="8401">
        <f>IF(HLOOKUP("Mins",A1:CV300,48,FALSE)=0,0,HLOOKUP("SIB",A1:CV300,48,FALSE)/HLOOKUP("Mins",A1:CV300,48,FALSE)* 90)</f>
      </c>
      <c r="BD48" s="8402">
        <f>IF(HLOOKUP("Mins",A1:CV300,48,FALSE)=0,0,HLOOKUP("S6YD",A1:CV300,48,FALSE)/HLOOKUP("Mins",A1:CV300,48,FALSE)* 90)</f>
      </c>
      <c r="BE48" s="8403">
        <f>IF(HLOOKUP("Mins",A1:CV300,48,FALSE)=0,0,HLOOKUP("Headers",A1:CV300,48,FALSE)/HLOOKUP("Mins",A1:CV300,48,FALSE)* 90)</f>
      </c>
      <c r="BF48" s="8404">
        <f>IF(HLOOKUP("Mins",A1:CV300,48,FALSE)=0,0,HLOOKUP("SOT",A1:CV300,48,FALSE)/HLOOKUP("Mins",A1:CV300,48,FALSE)* 90)</f>
      </c>
      <c r="BG48" s="8405">
        <f>IF(HLOOKUP("Mins",A1:CV300,48,FALSE)=0,0,HLOOKUP("As",A1:CV300,48,FALSE)/HLOOKUP("Mins",A1:CV300,48,FALSE)* 90)</f>
      </c>
      <c r="BH48" s="8406">
        <f>IF(HLOOKUP("Mins",A1:CV300,48,FALSE)=0,0,HLOOKUP("FPL As",A1:CV300,48,FALSE)/HLOOKUP("Mins",A1:CV300,48,FALSE)* 90)</f>
      </c>
      <c r="BI48" s="8407">
        <f>IF(HLOOKUP("Mins",A1:CV300,48,FALSE)=0,0,HLOOKUP("BC Created",A1:CV300,48,FALSE)/HLOOKUP("Mins",A1:CV300,48,FALSE)* 90)</f>
      </c>
      <c r="BJ48" s="8408">
        <f>IF(HLOOKUP("Mins",A1:CV300,48,FALSE)=0,0,HLOOKUP("KP",A1:CV300,48,FALSE)/HLOOKUP("Mins",A1:CV300,48,FALSE)* 90)</f>
      </c>
      <c r="BK48" s="8409">
        <f>IF(HLOOKUP("Mins",A1:CV300,48,FALSE)=0,0,HLOOKUP("BC",A1:CV300,48,FALSE)/HLOOKUP("Mins",A1:CV300,48,FALSE)* 90)</f>
      </c>
      <c r="BL48" s="8410">
        <f>IF(HLOOKUP("Mins",A1:CV300,48,FALSE)=0,0,HLOOKUP("BC Miss",A1:CV300,48,FALSE)/HLOOKUP("Mins",A1:CV300,48,FALSE)* 90)</f>
      </c>
      <c r="BM48" s="8411">
        <f>IF(HLOOKUP("Mins",A1:CV300,48,FALSE)=0,0,HLOOKUP("Gs - BC",A1:CV300,48,FALSE)/HLOOKUP("Mins",A1:CV300,48,FALSE)* 90)</f>
      </c>
      <c r="BN48" s="8412">
        <f>IF(HLOOKUP("Mins",A1:CV300,48,FALSE)=0,0,HLOOKUP("GIB",A1:CV300,48,FALSE)/HLOOKUP("Mins",A1:CV300,48,FALSE)* 90)</f>
      </c>
      <c r="BO48" s="8413">
        <f>IF(HLOOKUP("Mins",A1:CV300,48,FALSE)=0,0,HLOOKUP("Gs - Open",A1:CV300,48,FALSE)/HLOOKUP("Mins",A1:CV300,48,FALSE)* 90)</f>
      </c>
      <c r="BP48" s="8414">
        <f>IF(HLOOKUP("Mins",A1:CV300,48,FALSE)=0,0,HLOOKUP("ICT Index",A1:CV300,48,FALSE)/HLOOKUP("Mins",A1:CV300,48,FALSE)* 90)</f>
      </c>
      <c r="BQ48" s="8415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8416">
        <f>0.0825*HLOOKUP("KP/90",A1:CV300,48,FALSE)</f>
      </c>
      <c r="BS48" s="8417">
        <f>6*HLOOKUP("xG/90",A1:CV300,48,FALSE)+3*HLOOKUP("xA/90",A1:CV300,48,FALSE)</f>
      </c>
      <c r="BT48" s="8418">
        <f>HLOOKUP("xPts/90",A1:CV300,48,FALSE)-(6*0.75*(HLOOKUP("PK Gs",A1:CV300,48,FALSE)+HLOOKUP("PK Miss",A1:CV300,48,FALSE))*90/HLOOKUP("Mins",A1:CV300,48,FALSE))</f>
      </c>
      <c r="BU48" s="8419">
        <f>IF(HLOOKUP("Mins",A1:CV300,48,FALSE)=0,0,HLOOKUP("fsXG",A1:CV300,48,FALSE)/HLOOKUP("Mins",A1:CV300,48,FALSE)* 90)</f>
      </c>
      <c r="BV48" s="8420">
        <f>IF(HLOOKUP("Mins",A1:CV300,48,FALSE)=0,0,HLOOKUP("fsXA",A1:CV300,48,FALSE)/HLOOKUP("Mins",A1:CV300,48,FALSE)* 90)</f>
      </c>
      <c r="BW48" s="8421">
        <f>6*HLOOKUP("fsXG/90",A1:CV300,48,FALSE)+3*HLOOKUP("fsXA/90",A1:CV300,48,FALSE)</f>
      </c>
      <c r="BX48" t="n" s="8422">
        <v>0.0036521872971206903</v>
      </c>
      <c r="BY48" t="n" s="8423">
        <v>0.05469486862421036</v>
      </c>
      <c r="BZ48" s="8424">
        <f>6*HLOOKUP("uXG/90",A1:CV300,48,FALSE)+3*HLOOKUP("uXA/90",A1:CV300,48,FALSE)</f>
      </c>
    </row>
    <row r="49">
      <c r="A49" t="s" s="8425">
        <v>205</v>
      </c>
      <c r="B49" t="s" s="8426">
        <v>147</v>
      </c>
      <c r="C49" t="n" s="8427">
        <v>5.0</v>
      </c>
      <c r="D49" t="n" s="8428">
        <v>190.0</v>
      </c>
      <c r="E49" t="n" s="8429">
        <v>3.0</v>
      </c>
      <c r="F49" t="n" s="8430">
        <v>31.0</v>
      </c>
      <c r="G49" t="n" s="8431">
        <v>0.0</v>
      </c>
      <c r="H49" t="n" s="8432">
        <v>3.0</v>
      </c>
      <c r="I49" t="n" s="8433">
        <v>168.0</v>
      </c>
      <c r="J49" s="8434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8435">
        <v>0.0</v>
      </c>
      <c r="L49" t="n" s="8436">
        <v>2.0</v>
      </c>
      <c r="M49" t="n" s="8437">
        <v>7.0</v>
      </c>
      <c r="N49" t="n" s="8438">
        <v>6.0</v>
      </c>
      <c r="O49" t="n" s="8439">
        <v>3.0</v>
      </c>
      <c r="P49" s="8440">
        <f>IF(HLOOKUP("Shots",A1:CV300,49,FALSE)=0,0,HLOOKUP("SIB",A1:CV300,49,FALSE)/HLOOKUP("Shots",A1:CV300,49,FALSE))</f>
      </c>
      <c r="Q49" t="n" s="8441">
        <v>0.0</v>
      </c>
      <c r="R49" s="8442">
        <f>IF(HLOOKUP("Shots",A1:CV300,49,FALSE)=0,0,HLOOKUP("S6YD",A1:CV300,49,FALSE)/HLOOKUP("Shots",A1:CV300,49,FALSE))</f>
      </c>
      <c r="S49" t="n" s="8443">
        <v>0.0</v>
      </c>
      <c r="T49" s="8444">
        <f>IF(HLOOKUP("Shots",A1:CV300,49,FALSE)=0,0,HLOOKUP("Headers",A1:CV300,49,FALSE)/HLOOKUP("Shots",A1:CV300,49,FALSE))</f>
      </c>
      <c r="U49" t="n" s="8445">
        <v>1.0</v>
      </c>
      <c r="V49" s="8446">
        <f>IF(HLOOKUP("Shots",A1:CV300,49,FALSE)=0,0,HLOOKUP("SOT",A1:CV300,49,FALSE)/HLOOKUP("Shots",A1:CV300,49,FALSE))</f>
      </c>
      <c r="W49" s="8447">
        <f>IF(HLOOKUP("Shots",A1:CV300,49,FALSE)=0,0,HLOOKUP("Gs",A1:CV300,49,FALSE)/HLOOKUP("Shots",A1:CV300,49,FALSE))</f>
      </c>
      <c r="X49" t="n" s="8448">
        <v>1.0</v>
      </c>
      <c r="Y49" t="n" s="8449">
        <v>2.0</v>
      </c>
      <c r="Z49" t="n" s="8450">
        <v>4.0</v>
      </c>
      <c r="AA49" s="8451">
        <f>IF(HLOOKUP("KP",A1:CV300,49,FALSE)=0,0,HLOOKUP("As",A1:CV300,49,FALSE)/HLOOKUP("KP",A1:CV300,49,FALSE))</f>
      </c>
      <c r="AB49" t="n" s="8452">
        <v>18.8</v>
      </c>
      <c r="AC49" t="n" s="8453">
        <v>25.0</v>
      </c>
      <c r="AD49" t="n" s="8454">
        <v>0.0</v>
      </c>
      <c r="AE49" t="n" s="8455">
        <v>0.0</v>
      </c>
      <c r="AF49" t="n" s="8456">
        <v>0.0</v>
      </c>
      <c r="AG49" s="8457">
        <f>IF(HLOOKUP("BC",A1:CV300,49,FALSE)=0,0,HLOOKUP("Gs - BC",A1:CV300,49,FALSE)/HLOOKUP("BC",A1:CV300,49,FALSE))</f>
      </c>
      <c r="AH49" s="8458">
        <f>HLOOKUP("BC",A1:CV300,49,FALSE) - HLOOKUP("BC Miss",A1:CV300,49,FALSE)</f>
      </c>
      <c r="AI49" s="8459">
        <f>IF(HLOOKUP("Gs",A1:CV300,49,FALSE)=0,0,HLOOKUP("Gs - BC",A1:CV300,49,FALSE)/HLOOKUP("Gs",A1:CV300,49,FALSE))</f>
      </c>
      <c r="AJ49" t="n" s="8460">
        <v>0.0</v>
      </c>
      <c r="AK49" t="n" s="8461">
        <v>0.0</v>
      </c>
      <c r="AL49" s="8462">
        <f>HLOOKUP("BC",A1:CV300,49,FALSE) - (HLOOKUP("PK Gs",A1:CV300,49,FALSE) + HLOOKUP("PK Miss",A1:CV300,49,FALSE))</f>
      </c>
      <c r="AM49" s="8463">
        <f>HLOOKUP("BC Miss",A1:CV300,49,FALSE) - HLOOKUP("PK Miss",A1:CV300,49,FALSE)</f>
      </c>
      <c r="AN49" s="8464">
        <f>IF(HLOOKUP("BC - Open",A1:CV300,49,FALSE)=0,0,HLOOKUP("BC - Open Miss",A1:CV300,49,FALSE)/HLOOKUP("BC - Open",A1:CV300,49,FALSE))</f>
      </c>
      <c r="AO49" t="n" s="8465">
        <v>0.0</v>
      </c>
      <c r="AP49" s="8466">
        <f>IF(HLOOKUP("Gs",A1:CV300,49,FALSE)=0,0,HLOOKUP("GIB",A1:CV300,49,FALSE)/HLOOKUP("Gs",A1:CV300,49,FALSE))</f>
      </c>
      <c r="AQ49" t="n" s="8467">
        <v>0.0</v>
      </c>
      <c r="AR49" s="8468">
        <f>IF(HLOOKUP("Gs",A1:CV300,49,FALSE)=0,0,HLOOKUP("Gs - Open",A1:CV300,49,FALSE)/HLOOKUP("Gs",A1:CV300,49,FALSE))</f>
      </c>
      <c r="AS49" t="n" s="8469">
        <v>0.3</v>
      </c>
      <c r="AT49" t="n" s="8470">
        <v>0.21</v>
      </c>
      <c r="AU49" s="8471">
        <f>IF(HLOOKUP("Mins",A1:CV300,49,FALSE)=0,0,HLOOKUP("Pts",A1:CV300,49,FALSE)/HLOOKUP("Mins",A1:CV300,49,FALSE)* 90)</f>
      </c>
      <c r="AV49" s="8472">
        <f>IF(HLOOKUP("Apps",A1:CV300,49,FALSE)=0,0,HLOOKUP("Pts",A1:CV300,49,FALSE)/HLOOKUP("Apps",A1:CV300,49,FALSE)* 1)</f>
      </c>
      <c r="AW49" s="8473">
        <f>IF(HLOOKUP("Mins",A1:CV300,49,FALSE)=0,0,HLOOKUP("Gs",A1:CV300,49,FALSE)/HLOOKUP("Mins",A1:CV300,49,FALSE)* 90)</f>
      </c>
      <c r="AX49" s="8474">
        <f>IF(HLOOKUP("Mins",A1:CV300,49,FALSE)=0,0,HLOOKUP("Bonus",A1:CV300,49,FALSE)/HLOOKUP("Mins",A1:CV300,49,FALSE)* 90)</f>
      </c>
      <c r="AY49" s="8475">
        <f>IF(HLOOKUP("Mins",A1:CV300,49,FALSE)=0,0,HLOOKUP("BPS",A1:CV300,49,FALSE)/HLOOKUP("Mins",A1:CV300,49,FALSE)* 90)</f>
      </c>
      <c r="AZ49" s="8476">
        <f>IF(HLOOKUP("Mins",A1:CV300,49,FALSE)=0,0,HLOOKUP("Base BPS",A1:CV300,49,FALSE)/HLOOKUP("Mins",A1:CV300,49,FALSE)* 90)</f>
      </c>
      <c r="BA49" s="8477">
        <f>IF(HLOOKUP("Mins",A1:CV300,49,FALSE)=0,0,HLOOKUP("PenTchs",A1:CV300,49,FALSE)/HLOOKUP("Mins",A1:CV300,49,FALSE)* 90)</f>
      </c>
      <c r="BB49" s="8478">
        <f>IF(HLOOKUP("Mins",A1:CV300,49,FALSE)=0,0,HLOOKUP("Shots",A1:CV300,49,FALSE)/HLOOKUP("Mins",A1:CV300,49,FALSE)* 90)</f>
      </c>
      <c r="BC49" s="8479">
        <f>IF(HLOOKUP("Mins",A1:CV300,49,FALSE)=0,0,HLOOKUP("SIB",A1:CV300,49,FALSE)/HLOOKUP("Mins",A1:CV300,49,FALSE)* 90)</f>
      </c>
      <c r="BD49" s="8480">
        <f>IF(HLOOKUP("Mins",A1:CV300,49,FALSE)=0,0,HLOOKUP("S6YD",A1:CV300,49,FALSE)/HLOOKUP("Mins",A1:CV300,49,FALSE)* 90)</f>
      </c>
      <c r="BE49" s="8481">
        <f>IF(HLOOKUP("Mins",A1:CV300,49,FALSE)=0,0,HLOOKUP("Headers",A1:CV300,49,FALSE)/HLOOKUP("Mins",A1:CV300,49,FALSE)* 90)</f>
      </c>
      <c r="BF49" s="8482">
        <f>IF(HLOOKUP("Mins",A1:CV300,49,FALSE)=0,0,HLOOKUP("SOT",A1:CV300,49,FALSE)/HLOOKUP("Mins",A1:CV300,49,FALSE)* 90)</f>
      </c>
      <c r="BG49" s="8483">
        <f>IF(HLOOKUP("Mins",A1:CV300,49,FALSE)=0,0,HLOOKUP("As",A1:CV300,49,FALSE)/HLOOKUP("Mins",A1:CV300,49,FALSE)* 90)</f>
      </c>
      <c r="BH49" s="8484">
        <f>IF(HLOOKUP("Mins",A1:CV300,49,FALSE)=0,0,HLOOKUP("FPL As",A1:CV300,49,FALSE)/HLOOKUP("Mins",A1:CV300,49,FALSE)* 90)</f>
      </c>
      <c r="BI49" s="8485">
        <f>IF(HLOOKUP("Mins",A1:CV300,49,FALSE)=0,0,HLOOKUP("BC Created",A1:CV300,49,FALSE)/HLOOKUP("Mins",A1:CV300,49,FALSE)* 90)</f>
      </c>
      <c r="BJ49" s="8486">
        <f>IF(HLOOKUP("Mins",A1:CV300,49,FALSE)=0,0,HLOOKUP("KP",A1:CV300,49,FALSE)/HLOOKUP("Mins",A1:CV300,49,FALSE)* 90)</f>
      </c>
      <c r="BK49" s="8487">
        <f>IF(HLOOKUP("Mins",A1:CV300,49,FALSE)=0,0,HLOOKUP("BC",A1:CV300,49,FALSE)/HLOOKUP("Mins",A1:CV300,49,FALSE)* 90)</f>
      </c>
      <c r="BL49" s="8488">
        <f>IF(HLOOKUP("Mins",A1:CV300,49,FALSE)=0,0,HLOOKUP("BC Miss",A1:CV300,49,FALSE)/HLOOKUP("Mins",A1:CV300,49,FALSE)* 90)</f>
      </c>
      <c r="BM49" s="8489">
        <f>IF(HLOOKUP("Mins",A1:CV300,49,FALSE)=0,0,HLOOKUP("Gs - BC",A1:CV300,49,FALSE)/HLOOKUP("Mins",A1:CV300,49,FALSE)* 90)</f>
      </c>
      <c r="BN49" s="8490">
        <f>IF(HLOOKUP("Mins",A1:CV300,49,FALSE)=0,0,HLOOKUP("GIB",A1:CV300,49,FALSE)/HLOOKUP("Mins",A1:CV300,49,FALSE)* 90)</f>
      </c>
      <c r="BO49" s="8491">
        <f>IF(HLOOKUP("Mins",A1:CV300,49,FALSE)=0,0,HLOOKUP("Gs - Open",A1:CV300,49,FALSE)/HLOOKUP("Mins",A1:CV300,49,FALSE)* 90)</f>
      </c>
      <c r="BP49" s="8492">
        <f>IF(HLOOKUP("Mins",A1:CV300,49,FALSE)=0,0,HLOOKUP("ICT Index",A1:CV300,49,FALSE)/HLOOKUP("Mins",A1:CV300,49,FALSE)* 90)</f>
      </c>
      <c r="BQ49" s="8493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8494">
        <f>0.0825*HLOOKUP("KP/90",A1:CV300,49,FALSE)</f>
      </c>
      <c r="BS49" s="8495">
        <f>6*HLOOKUP("xG/90",A1:CV300,49,FALSE)+3*HLOOKUP("xA/90",A1:CV300,49,FALSE)</f>
      </c>
      <c r="BT49" s="8496">
        <f>HLOOKUP("xPts/90",A1:CV300,49,FALSE)-(6*0.75*(HLOOKUP("PK Gs",A1:CV300,49,FALSE)+HLOOKUP("PK Miss",A1:CV300,49,FALSE))*90/HLOOKUP("Mins",A1:CV300,49,FALSE))</f>
      </c>
      <c r="BU49" s="8497">
        <f>IF(HLOOKUP("Mins",A1:CV300,49,FALSE)=0,0,HLOOKUP("fsXG",A1:CV300,49,FALSE)/HLOOKUP("Mins",A1:CV300,49,FALSE)* 90)</f>
      </c>
      <c r="BV49" s="8498">
        <f>IF(HLOOKUP("Mins",A1:CV300,49,FALSE)=0,0,HLOOKUP("fsXA",A1:CV300,49,FALSE)/HLOOKUP("Mins",A1:CV300,49,FALSE)* 90)</f>
      </c>
      <c r="BW49" s="8499">
        <f>6*HLOOKUP("fsXG/90",A1:CV300,49,FALSE)+3*HLOOKUP("fsXA/90",A1:CV300,49,FALSE)</f>
      </c>
      <c r="BX49" t="n" s="8500">
        <v>0.20569591224193573</v>
      </c>
      <c r="BY49" t="n" s="8501">
        <v>0.13290582597255707</v>
      </c>
      <c r="BZ49" s="8502">
        <f>6*HLOOKUP("uXG/90",A1:CV300,49,FALSE)+3*HLOOKUP("uXA/90",A1:CV300,49,FALSE)</f>
      </c>
    </row>
    <row r="50">
      <c r="A50" t="s" s="8503">
        <v>206</v>
      </c>
      <c r="B50" t="s" s="8504">
        <v>112</v>
      </c>
      <c r="C50" t="n" s="8505">
        <v>4.199999809265137</v>
      </c>
      <c r="D50" t="n" s="8506">
        <v>180.0</v>
      </c>
      <c r="E50" t="n" s="8507">
        <v>2.0</v>
      </c>
      <c r="F50" t="n" s="8508">
        <v>8.0</v>
      </c>
      <c r="G50" t="n" s="8509">
        <v>0.0</v>
      </c>
      <c r="H50" t="n" s="8510">
        <v>0.0</v>
      </c>
      <c r="I50" t="n" s="8511">
        <v>64.0</v>
      </c>
      <c r="J50" s="8512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8513">
        <v>0.0</v>
      </c>
      <c r="L50" t="n" s="8514">
        <v>0.0</v>
      </c>
      <c r="M50" t="n" s="8515">
        <v>1.0</v>
      </c>
      <c r="N50" t="n" s="8516">
        <v>0.0</v>
      </c>
      <c r="O50" t="n" s="8517">
        <v>0.0</v>
      </c>
      <c r="P50" s="8518">
        <f>IF(HLOOKUP("Shots",A1:CV300,50,FALSE)=0,0,HLOOKUP("SIB",A1:CV300,50,FALSE)/HLOOKUP("Shots",A1:CV300,50,FALSE))</f>
      </c>
      <c r="Q50" t="n" s="8519">
        <v>0.0</v>
      </c>
      <c r="R50" s="8520">
        <f>IF(HLOOKUP("Shots",A1:CV300,50,FALSE)=0,0,HLOOKUP("S6YD",A1:CV300,50,FALSE)/HLOOKUP("Shots",A1:CV300,50,FALSE))</f>
      </c>
      <c r="S50" t="n" s="8521">
        <v>0.0</v>
      </c>
      <c r="T50" s="8522">
        <f>IF(HLOOKUP("Shots",A1:CV300,50,FALSE)=0,0,HLOOKUP("Headers",A1:CV300,50,FALSE)/HLOOKUP("Shots",A1:CV300,50,FALSE))</f>
      </c>
      <c r="U50" t="n" s="8523">
        <v>0.0</v>
      </c>
      <c r="V50" s="8524">
        <f>IF(HLOOKUP("Shots",A1:CV300,50,FALSE)=0,0,HLOOKUP("SOT",A1:CV300,50,FALSE)/HLOOKUP("Shots",A1:CV300,50,FALSE))</f>
      </c>
      <c r="W50" s="8525">
        <f>IF(HLOOKUP("Shots",A1:CV300,50,FALSE)=0,0,HLOOKUP("Gs",A1:CV300,50,FALSE)/HLOOKUP("Shots",A1:CV300,50,FALSE))</f>
      </c>
      <c r="X50" t="n" s="8526">
        <v>0.0</v>
      </c>
      <c r="Y50" t="n" s="8527">
        <v>0.0</v>
      </c>
      <c r="Z50" t="n" s="8528">
        <v>0.0</v>
      </c>
      <c r="AA50" s="8529">
        <f>IF(HLOOKUP("KP",A1:CV300,50,FALSE)=0,0,HLOOKUP("As",A1:CV300,50,FALSE)/HLOOKUP("KP",A1:CV300,50,FALSE))</f>
      </c>
      <c r="AB50" t="n" s="8530">
        <v>4.9</v>
      </c>
      <c r="AC50" t="n" s="8531">
        <v>0.0</v>
      </c>
      <c r="AD50" t="n" s="8532">
        <v>0.0</v>
      </c>
      <c r="AE50" t="n" s="8533">
        <v>0.0</v>
      </c>
      <c r="AF50" t="n" s="8534">
        <v>0.0</v>
      </c>
      <c r="AG50" s="8535">
        <f>IF(HLOOKUP("BC",A1:CV300,50,FALSE)=0,0,HLOOKUP("Gs - BC",A1:CV300,50,FALSE)/HLOOKUP("BC",A1:CV300,50,FALSE))</f>
      </c>
      <c r="AH50" s="8536">
        <f>HLOOKUP("BC",A1:CV300,50,FALSE) - HLOOKUP("BC Miss",A1:CV300,50,FALSE)</f>
      </c>
      <c r="AI50" s="8537">
        <f>IF(HLOOKUP("Gs",A1:CV300,50,FALSE)=0,0,HLOOKUP("Gs - BC",A1:CV300,50,FALSE)/HLOOKUP("Gs",A1:CV300,50,FALSE))</f>
      </c>
      <c r="AJ50" t="n" s="8538">
        <v>0.0</v>
      </c>
      <c r="AK50" t="n" s="8539">
        <v>0.0</v>
      </c>
      <c r="AL50" s="8540">
        <f>HLOOKUP("BC",A1:CV300,50,FALSE) - (HLOOKUP("PK Gs",A1:CV300,50,FALSE) + HLOOKUP("PK Miss",A1:CV300,50,FALSE))</f>
      </c>
      <c r="AM50" s="8541">
        <f>HLOOKUP("BC Miss",A1:CV300,50,FALSE) - HLOOKUP("PK Miss",A1:CV300,50,FALSE)</f>
      </c>
      <c r="AN50" s="8542">
        <f>IF(HLOOKUP("BC - Open",A1:CV300,50,FALSE)=0,0,HLOOKUP("BC - Open Miss",A1:CV300,50,FALSE)/HLOOKUP("BC - Open",A1:CV300,50,FALSE))</f>
      </c>
      <c r="AO50" t="n" s="8543">
        <v>0.0</v>
      </c>
      <c r="AP50" s="8544">
        <f>IF(HLOOKUP("Gs",A1:CV300,50,FALSE)=0,0,HLOOKUP("GIB",A1:CV300,50,FALSE)/HLOOKUP("Gs",A1:CV300,50,FALSE))</f>
      </c>
      <c r="AQ50" t="n" s="8545">
        <v>0.0</v>
      </c>
      <c r="AR50" s="8546">
        <f>IF(HLOOKUP("Gs",A1:CV300,50,FALSE)=0,0,HLOOKUP("Gs - Open",A1:CV300,50,FALSE)/HLOOKUP("Gs",A1:CV300,50,FALSE))</f>
      </c>
      <c r="AS50" t="n" s="8547">
        <v>0.0</v>
      </c>
      <c r="AT50" t="n" s="8548">
        <v>0.02</v>
      </c>
      <c r="AU50" s="8549">
        <f>IF(HLOOKUP("Mins",A1:CV300,50,FALSE)=0,0,HLOOKUP("Pts",A1:CV300,50,FALSE)/HLOOKUP("Mins",A1:CV300,50,FALSE)* 90)</f>
      </c>
      <c r="AV50" s="8550">
        <f>IF(HLOOKUP("Apps",A1:CV300,50,FALSE)=0,0,HLOOKUP("Pts",A1:CV300,50,FALSE)/HLOOKUP("Apps",A1:CV300,50,FALSE)* 1)</f>
      </c>
      <c r="AW50" s="8551">
        <f>IF(HLOOKUP("Mins",A1:CV300,50,FALSE)=0,0,HLOOKUP("Gs",A1:CV300,50,FALSE)/HLOOKUP("Mins",A1:CV300,50,FALSE)* 90)</f>
      </c>
      <c r="AX50" s="8552">
        <f>IF(HLOOKUP("Mins",A1:CV300,50,FALSE)=0,0,HLOOKUP("Bonus",A1:CV300,50,FALSE)/HLOOKUP("Mins",A1:CV300,50,FALSE)* 90)</f>
      </c>
      <c r="AY50" s="8553">
        <f>IF(HLOOKUP("Mins",A1:CV300,50,FALSE)=0,0,HLOOKUP("BPS",A1:CV300,50,FALSE)/HLOOKUP("Mins",A1:CV300,50,FALSE)* 90)</f>
      </c>
      <c r="AZ50" s="8554">
        <f>IF(HLOOKUP("Mins",A1:CV300,50,FALSE)=0,0,HLOOKUP("Base BPS",A1:CV300,50,FALSE)/HLOOKUP("Mins",A1:CV300,50,FALSE)* 90)</f>
      </c>
      <c r="BA50" s="8555">
        <f>IF(HLOOKUP("Mins",A1:CV300,50,FALSE)=0,0,HLOOKUP("PenTchs",A1:CV300,50,FALSE)/HLOOKUP("Mins",A1:CV300,50,FALSE)* 90)</f>
      </c>
      <c r="BB50" s="8556">
        <f>IF(HLOOKUP("Mins",A1:CV300,50,FALSE)=0,0,HLOOKUP("Shots",A1:CV300,50,FALSE)/HLOOKUP("Mins",A1:CV300,50,FALSE)* 90)</f>
      </c>
      <c r="BC50" s="8557">
        <f>IF(HLOOKUP("Mins",A1:CV300,50,FALSE)=0,0,HLOOKUP("SIB",A1:CV300,50,FALSE)/HLOOKUP("Mins",A1:CV300,50,FALSE)* 90)</f>
      </c>
      <c r="BD50" s="8558">
        <f>IF(HLOOKUP("Mins",A1:CV300,50,FALSE)=0,0,HLOOKUP("S6YD",A1:CV300,50,FALSE)/HLOOKUP("Mins",A1:CV300,50,FALSE)* 90)</f>
      </c>
      <c r="BE50" s="8559">
        <f>IF(HLOOKUP("Mins",A1:CV300,50,FALSE)=0,0,HLOOKUP("Headers",A1:CV300,50,FALSE)/HLOOKUP("Mins",A1:CV300,50,FALSE)* 90)</f>
      </c>
      <c r="BF50" s="8560">
        <f>IF(HLOOKUP("Mins",A1:CV300,50,FALSE)=0,0,HLOOKUP("SOT",A1:CV300,50,FALSE)/HLOOKUP("Mins",A1:CV300,50,FALSE)* 90)</f>
      </c>
      <c r="BG50" s="8561">
        <f>IF(HLOOKUP("Mins",A1:CV300,50,FALSE)=0,0,HLOOKUP("As",A1:CV300,50,FALSE)/HLOOKUP("Mins",A1:CV300,50,FALSE)* 90)</f>
      </c>
      <c r="BH50" s="8562">
        <f>IF(HLOOKUP("Mins",A1:CV300,50,FALSE)=0,0,HLOOKUP("FPL As",A1:CV300,50,FALSE)/HLOOKUP("Mins",A1:CV300,50,FALSE)* 90)</f>
      </c>
      <c r="BI50" s="8563">
        <f>IF(HLOOKUP("Mins",A1:CV300,50,FALSE)=0,0,HLOOKUP("BC Created",A1:CV300,50,FALSE)/HLOOKUP("Mins",A1:CV300,50,FALSE)* 90)</f>
      </c>
      <c r="BJ50" s="8564">
        <f>IF(HLOOKUP("Mins",A1:CV300,50,FALSE)=0,0,HLOOKUP("KP",A1:CV300,50,FALSE)/HLOOKUP("Mins",A1:CV300,50,FALSE)* 90)</f>
      </c>
      <c r="BK50" s="8565">
        <f>IF(HLOOKUP("Mins",A1:CV300,50,FALSE)=0,0,HLOOKUP("BC",A1:CV300,50,FALSE)/HLOOKUP("Mins",A1:CV300,50,FALSE)* 90)</f>
      </c>
      <c r="BL50" s="8566">
        <f>IF(HLOOKUP("Mins",A1:CV300,50,FALSE)=0,0,HLOOKUP("BC Miss",A1:CV300,50,FALSE)/HLOOKUP("Mins",A1:CV300,50,FALSE)* 90)</f>
      </c>
      <c r="BM50" s="8567">
        <f>IF(HLOOKUP("Mins",A1:CV300,50,FALSE)=0,0,HLOOKUP("Gs - BC",A1:CV300,50,FALSE)/HLOOKUP("Mins",A1:CV300,50,FALSE)* 90)</f>
      </c>
      <c r="BN50" s="8568">
        <f>IF(HLOOKUP("Mins",A1:CV300,50,FALSE)=0,0,HLOOKUP("GIB",A1:CV300,50,FALSE)/HLOOKUP("Mins",A1:CV300,50,FALSE)* 90)</f>
      </c>
      <c r="BO50" s="8569">
        <f>IF(HLOOKUP("Mins",A1:CV300,50,FALSE)=0,0,HLOOKUP("Gs - Open",A1:CV300,50,FALSE)/HLOOKUP("Mins",A1:CV300,50,FALSE)* 90)</f>
      </c>
      <c r="BP50" s="8570">
        <f>IF(HLOOKUP("Mins",A1:CV300,50,FALSE)=0,0,HLOOKUP("ICT Index",A1:CV300,50,FALSE)/HLOOKUP("Mins",A1:CV300,50,FALSE)* 90)</f>
      </c>
      <c r="BQ50" s="8571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8572">
        <f>0.0825*HLOOKUP("KP/90",A1:CV300,50,FALSE)</f>
      </c>
      <c r="BS50" s="8573">
        <f>6*HLOOKUP("xG/90",A1:CV300,50,FALSE)+3*HLOOKUP("xA/90",A1:CV300,50,FALSE)</f>
      </c>
      <c r="BT50" s="8574">
        <f>HLOOKUP("xPts/90",A1:CV300,50,FALSE)-(6*0.75*(HLOOKUP("PK Gs",A1:CV300,50,FALSE)+HLOOKUP("PK Miss",A1:CV300,50,FALSE))*90/HLOOKUP("Mins",A1:CV300,50,FALSE))</f>
      </c>
      <c r="BU50" s="8575">
        <f>IF(HLOOKUP("Mins",A1:CV300,50,FALSE)=0,0,HLOOKUP("fsXG",A1:CV300,50,FALSE)/HLOOKUP("Mins",A1:CV300,50,FALSE)* 90)</f>
      </c>
      <c r="BV50" s="8576">
        <f>IF(HLOOKUP("Mins",A1:CV300,50,FALSE)=0,0,HLOOKUP("fsXA",A1:CV300,50,FALSE)/HLOOKUP("Mins",A1:CV300,50,FALSE)* 90)</f>
      </c>
      <c r="BW50" s="8577">
        <f>6*HLOOKUP("fsXG/90",A1:CV300,50,FALSE)+3*HLOOKUP("fsXA/90",A1:CV300,50,FALSE)</f>
      </c>
      <c r="BX50" t="n" s="8578">
        <v>0.0</v>
      </c>
      <c r="BY50" t="n" s="8579">
        <v>0.0</v>
      </c>
      <c r="BZ50" s="8580">
        <f>6*HLOOKUP("uXG/90",A1:CV300,50,FALSE)+3*HLOOKUP("uXA/90",A1:CV300,50,FALSE)</f>
      </c>
    </row>
    <row r="51">
      <c r="A51" t="s" s="8581">
        <v>207</v>
      </c>
      <c r="B51" t="s" s="8582">
        <v>90</v>
      </c>
      <c r="C51" t="n" s="8583">
        <v>4.400000095367432</v>
      </c>
      <c r="D51" t="n" s="8584">
        <v>450.0</v>
      </c>
      <c r="E51" t="n" s="8585">
        <v>5.0</v>
      </c>
      <c r="F51" t="n" s="8586">
        <v>16.0</v>
      </c>
      <c r="G51" t="n" s="8587">
        <v>0.0</v>
      </c>
      <c r="H51" t="n" s="8588">
        <v>0.0</v>
      </c>
      <c r="I51" t="n" s="8589">
        <v>140.0</v>
      </c>
      <c r="J51" s="8590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8591">
        <v>0.0</v>
      </c>
      <c r="L51" t="n" s="8592">
        <v>1.0</v>
      </c>
      <c r="M51" t="n" s="8593">
        <v>13.0</v>
      </c>
      <c r="N51" t="n" s="8594">
        <v>4.0</v>
      </c>
      <c r="O51" t="n" s="8595">
        <v>4.0</v>
      </c>
      <c r="P51" s="8596">
        <f>IF(HLOOKUP("Shots",A1:CV300,51,FALSE)=0,0,HLOOKUP("SIB",A1:CV300,51,FALSE)/HLOOKUP("Shots",A1:CV300,51,FALSE))</f>
      </c>
      <c r="Q51" t="n" s="8597">
        <v>2.0</v>
      </c>
      <c r="R51" s="8598">
        <f>IF(HLOOKUP("Shots",A1:CV300,51,FALSE)=0,0,HLOOKUP("S6YD",A1:CV300,51,FALSE)/HLOOKUP("Shots",A1:CV300,51,FALSE))</f>
      </c>
      <c r="S51" t="n" s="8599">
        <v>3.0</v>
      </c>
      <c r="T51" s="8600">
        <f>IF(HLOOKUP("Shots",A1:CV300,51,FALSE)=0,0,HLOOKUP("Headers",A1:CV300,51,FALSE)/HLOOKUP("Shots",A1:CV300,51,FALSE))</f>
      </c>
      <c r="U51" t="n" s="8601">
        <v>0.0</v>
      </c>
      <c r="V51" s="8602">
        <f>IF(HLOOKUP("Shots",A1:CV300,51,FALSE)=0,0,HLOOKUP("SOT",A1:CV300,51,FALSE)/HLOOKUP("Shots",A1:CV300,51,FALSE))</f>
      </c>
      <c r="W51" s="8603">
        <f>IF(HLOOKUP("Shots",A1:CV300,51,FALSE)=0,0,HLOOKUP("Gs",A1:CV300,51,FALSE)/HLOOKUP("Shots",A1:CV300,51,FALSE))</f>
      </c>
      <c r="X51" t="n" s="8604">
        <v>0.0</v>
      </c>
      <c r="Y51" t="n" s="8605">
        <v>0.0</v>
      </c>
      <c r="Z51" t="n" s="8606">
        <v>3.0</v>
      </c>
      <c r="AA51" s="8607">
        <f>IF(HLOOKUP("KP",A1:CV300,51,FALSE)=0,0,HLOOKUP("As",A1:CV300,51,FALSE)/HLOOKUP("KP",A1:CV300,51,FALSE))</f>
      </c>
      <c r="AB51" t="n" s="8608">
        <v>18.9</v>
      </c>
      <c r="AC51" t="n" s="8609">
        <v>0.0</v>
      </c>
      <c r="AD51" t="n" s="8610">
        <v>0.0</v>
      </c>
      <c r="AE51" t="n" s="8611">
        <v>2.0</v>
      </c>
      <c r="AF51" t="n" s="8612">
        <v>2.0</v>
      </c>
      <c r="AG51" s="8613">
        <f>IF(HLOOKUP("BC",A1:CV300,51,FALSE)=0,0,HLOOKUP("Gs - BC",A1:CV300,51,FALSE)/HLOOKUP("BC",A1:CV300,51,FALSE))</f>
      </c>
      <c r="AH51" s="8614">
        <f>HLOOKUP("BC",A1:CV300,51,FALSE) - HLOOKUP("BC Miss",A1:CV300,51,FALSE)</f>
      </c>
      <c r="AI51" s="8615">
        <f>IF(HLOOKUP("Gs",A1:CV300,51,FALSE)=0,0,HLOOKUP("Gs - BC",A1:CV300,51,FALSE)/HLOOKUP("Gs",A1:CV300,51,FALSE))</f>
      </c>
      <c r="AJ51" t="n" s="8616">
        <v>0.0</v>
      </c>
      <c r="AK51" t="n" s="8617">
        <v>0.0</v>
      </c>
      <c r="AL51" s="8618">
        <f>HLOOKUP("BC",A1:CV300,51,FALSE) - (HLOOKUP("PK Gs",A1:CV300,51,FALSE) + HLOOKUP("PK Miss",A1:CV300,51,FALSE))</f>
      </c>
      <c r="AM51" s="8619">
        <f>HLOOKUP("BC Miss",A1:CV300,51,FALSE) - HLOOKUP("PK Miss",A1:CV300,51,FALSE)</f>
      </c>
      <c r="AN51" s="8620">
        <f>IF(HLOOKUP("BC - Open",A1:CV300,51,FALSE)=0,0,HLOOKUP("BC - Open Miss",A1:CV300,51,FALSE)/HLOOKUP("BC - Open",A1:CV300,51,FALSE))</f>
      </c>
      <c r="AO51" t="n" s="8621">
        <v>0.0</v>
      </c>
      <c r="AP51" s="8622">
        <f>IF(HLOOKUP("Gs",A1:CV300,51,FALSE)=0,0,HLOOKUP("GIB",A1:CV300,51,FALSE)/HLOOKUP("Gs",A1:CV300,51,FALSE))</f>
      </c>
      <c r="AQ51" t="n" s="8623">
        <v>0.0</v>
      </c>
      <c r="AR51" s="8624">
        <f>IF(HLOOKUP("Gs",A1:CV300,51,FALSE)=0,0,HLOOKUP("Gs - Open",A1:CV300,51,FALSE)/HLOOKUP("Gs",A1:CV300,51,FALSE))</f>
      </c>
      <c r="AS51" t="n" s="8625">
        <v>0.49</v>
      </c>
      <c r="AT51" t="n" s="8626">
        <v>0.21</v>
      </c>
      <c r="AU51" s="8627">
        <f>IF(HLOOKUP("Mins",A1:CV300,51,FALSE)=0,0,HLOOKUP("Pts",A1:CV300,51,FALSE)/HLOOKUP("Mins",A1:CV300,51,FALSE)* 90)</f>
      </c>
      <c r="AV51" s="8628">
        <f>IF(HLOOKUP("Apps",A1:CV300,51,FALSE)=0,0,HLOOKUP("Pts",A1:CV300,51,FALSE)/HLOOKUP("Apps",A1:CV300,51,FALSE)* 1)</f>
      </c>
      <c r="AW51" s="8629">
        <f>IF(HLOOKUP("Mins",A1:CV300,51,FALSE)=0,0,HLOOKUP("Gs",A1:CV300,51,FALSE)/HLOOKUP("Mins",A1:CV300,51,FALSE)* 90)</f>
      </c>
      <c r="AX51" s="8630">
        <f>IF(HLOOKUP("Mins",A1:CV300,51,FALSE)=0,0,HLOOKUP("Bonus",A1:CV300,51,FALSE)/HLOOKUP("Mins",A1:CV300,51,FALSE)* 90)</f>
      </c>
      <c r="AY51" s="8631">
        <f>IF(HLOOKUP("Mins",A1:CV300,51,FALSE)=0,0,HLOOKUP("BPS",A1:CV300,51,FALSE)/HLOOKUP("Mins",A1:CV300,51,FALSE)* 90)</f>
      </c>
      <c r="AZ51" s="8632">
        <f>IF(HLOOKUP("Mins",A1:CV300,51,FALSE)=0,0,HLOOKUP("Base BPS",A1:CV300,51,FALSE)/HLOOKUP("Mins",A1:CV300,51,FALSE)* 90)</f>
      </c>
      <c r="BA51" s="8633">
        <f>IF(HLOOKUP("Mins",A1:CV300,51,FALSE)=0,0,HLOOKUP("PenTchs",A1:CV300,51,FALSE)/HLOOKUP("Mins",A1:CV300,51,FALSE)* 90)</f>
      </c>
      <c r="BB51" s="8634">
        <f>IF(HLOOKUP("Mins",A1:CV300,51,FALSE)=0,0,HLOOKUP("Shots",A1:CV300,51,FALSE)/HLOOKUP("Mins",A1:CV300,51,FALSE)* 90)</f>
      </c>
      <c r="BC51" s="8635">
        <f>IF(HLOOKUP("Mins",A1:CV300,51,FALSE)=0,0,HLOOKUP("SIB",A1:CV300,51,FALSE)/HLOOKUP("Mins",A1:CV300,51,FALSE)* 90)</f>
      </c>
      <c r="BD51" s="8636">
        <f>IF(HLOOKUP("Mins",A1:CV300,51,FALSE)=0,0,HLOOKUP("S6YD",A1:CV300,51,FALSE)/HLOOKUP("Mins",A1:CV300,51,FALSE)* 90)</f>
      </c>
      <c r="BE51" s="8637">
        <f>IF(HLOOKUP("Mins",A1:CV300,51,FALSE)=0,0,HLOOKUP("Headers",A1:CV300,51,FALSE)/HLOOKUP("Mins",A1:CV300,51,FALSE)* 90)</f>
      </c>
      <c r="BF51" s="8638">
        <f>IF(HLOOKUP("Mins",A1:CV300,51,FALSE)=0,0,HLOOKUP("SOT",A1:CV300,51,FALSE)/HLOOKUP("Mins",A1:CV300,51,FALSE)* 90)</f>
      </c>
      <c r="BG51" s="8639">
        <f>IF(HLOOKUP("Mins",A1:CV300,51,FALSE)=0,0,HLOOKUP("As",A1:CV300,51,FALSE)/HLOOKUP("Mins",A1:CV300,51,FALSE)* 90)</f>
      </c>
      <c r="BH51" s="8640">
        <f>IF(HLOOKUP("Mins",A1:CV300,51,FALSE)=0,0,HLOOKUP("FPL As",A1:CV300,51,FALSE)/HLOOKUP("Mins",A1:CV300,51,FALSE)* 90)</f>
      </c>
      <c r="BI51" s="8641">
        <f>IF(HLOOKUP("Mins",A1:CV300,51,FALSE)=0,0,HLOOKUP("BC Created",A1:CV300,51,FALSE)/HLOOKUP("Mins",A1:CV300,51,FALSE)* 90)</f>
      </c>
      <c r="BJ51" s="8642">
        <f>IF(HLOOKUP("Mins",A1:CV300,51,FALSE)=0,0,HLOOKUP("KP",A1:CV300,51,FALSE)/HLOOKUP("Mins",A1:CV300,51,FALSE)* 90)</f>
      </c>
      <c r="BK51" s="8643">
        <f>IF(HLOOKUP("Mins",A1:CV300,51,FALSE)=0,0,HLOOKUP("BC",A1:CV300,51,FALSE)/HLOOKUP("Mins",A1:CV300,51,FALSE)* 90)</f>
      </c>
      <c r="BL51" s="8644">
        <f>IF(HLOOKUP("Mins",A1:CV300,51,FALSE)=0,0,HLOOKUP("BC Miss",A1:CV300,51,FALSE)/HLOOKUP("Mins",A1:CV300,51,FALSE)* 90)</f>
      </c>
      <c r="BM51" s="8645">
        <f>IF(HLOOKUP("Mins",A1:CV300,51,FALSE)=0,0,HLOOKUP("Gs - BC",A1:CV300,51,FALSE)/HLOOKUP("Mins",A1:CV300,51,FALSE)* 90)</f>
      </c>
      <c r="BN51" s="8646">
        <f>IF(HLOOKUP("Mins",A1:CV300,51,FALSE)=0,0,HLOOKUP("GIB",A1:CV300,51,FALSE)/HLOOKUP("Mins",A1:CV300,51,FALSE)* 90)</f>
      </c>
      <c r="BO51" s="8647">
        <f>IF(HLOOKUP("Mins",A1:CV300,51,FALSE)=0,0,HLOOKUP("Gs - Open",A1:CV300,51,FALSE)/HLOOKUP("Mins",A1:CV300,51,FALSE)* 90)</f>
      </c>
      <c r="BP51" s="8648">
        <f>IF(HLOOKUP("Mins",A1:CV300,51,FALSE)=0,0,HLOOKUP("ICT Index",A1:CV300,51,FALSE)/HLOOKUP("Mins",A1:CV300,51,FALSE)* 90)</f>
      </c>
      <c r="BQ51" s="8649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8650">
        <f>0.0825*HLOOKUP("KP/90",A1:CV300,51,FALSE)</f>
      </c>
      <c r="BS51" s="8651">
        <f>6*HLOOKUP("xG/90",A1:CV300,51,FALSE)+3*HLOOKUP("xA/90",A1:CV300,51,FALSE)</f>
      </c>
      <c r="BT51" s="8652">
        <f>HLOOKUP("xPts/90",A1:CV300,51,FALSE)-(6*0.75*(HLOOKUP("PK Gs",A1:CV300,51,FALSE)+HLOOKUP("PK Miss",A1:CV300,51,FALSE))*90/HLOOKUP("Mins",A1:CV300,51,FALSE))</f>
      </c>
      <c r="BU51" s="8653">
        <f>IF(HLOOKUP("Mins",A1:CV300,51,FALSE)=0,0,HLOOKUP("fsXG",A1:CV300,51,FALSE)/HLOOKUP("Mins",A1:CV300,51,FALSE)* 90)</f>
      </c>
      <c r="BV51" s="8654">
        <f>IF(HLOOKUP("Mins",A1:CV300,51,FALSE)=0,0,HLOOKUP("fsXA",A1:CV300,51,FALSE)/HLOOKUP("Mins",A1:CV300,51,FALSE)* 90)</f>
      </c>
      <c r="BW51" s="8655">
        <f>6*HLOOKUP("fsXG/90",A1:CV300,51,FALSE)+3*HLOOKUP("fsXA/90",A1:CV300,51,FALSE)</f>
      </c>
      <c r="BX51" t="n" s="8656">
        <v>0.15139804780483246</v>
      </c>
      <c r="BY51" t="n" s="8657">
        <v>0.0367901511490345</v>
      </c>
      <c r="BZ51" s="8658">
        <f>6*HLOOKUP("uXG/90",A1:CV300,51,FALSE)+3*HLOOKUP("uXA/90",A1:CV300,51,FALSE)</f>
      </c>
    </row>
    <row r="52">
      <c r="A52" t="s" s="8659">
        <v>208</v>
      </c>
      <c r="B52" t="s" s="8660">
        <v>109</v>
      </c>
      <c r="C52" t="n" s="8661">
        <v>4.800000190734863</v>
      </c>
      <c r="D52" t="n" s="8662">
        <v>275.0</v>
      </c>
      <c r="E52" t="n" s="8663">
        <v>4.0</v>
      </c>
      <c r="F52" t="n" s="8664">
        <v>31.0</v>
      </c>
      <c r="G52" t="n" s="8665">
        <v>0.0</v>
      </c>
      <c r="H52" t="n" s="8666">
        <v>0.0</v>
      </c>
      <c r="I52" t="n" s="8667">
        <v>158.0</v>
      </c>
      <c r="J52" s="8668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8669">
        <v>0.0</v>
      </c>
      <c r="L52" t="n" s="8670">
        <v>2.0</v>
      </c>
      <c r="M52" t="n" s="8671">
        <v>2.0</v>
      </c>
      <c r="N52" t="n" s="8672">
        <v>0.0</v>
      </c>
      <c r="O52" t="n" s="8673">
        <v>0.0</v>
      </c>
      <c r="P52" s="8674">
        <f>IF(HLOOKUP("Shots",A1:CV300,52,FALSE)=0,0,HLOOKUP("SIB",A1:CV300,52,FALSE)/HLOOKUP("Shots",A1:CV300,52,FALSE))</f>
      </c>
      <c r="Q52" t="n" s="8675">
        <v>0.0</v>
      </c>
      <c r="R52" s="8676">
        <f>IF(HLOOKUP("Shots",A1:CV300,52,FALSE)=0,0,HLOOKUP("S6YD",A1:CV300,52,FALSE)/HLOOKUP("Shots",A1:CV300,52,FALSE))</f>
      </c>
      <c r="S52" t="n" s="8677">
        <v>0.0</v>
      </c>
      <c r="T52" s="8678">
        <f>IF(HLOOKUP("Shots",A1:CV300,52,FALSE)=0,0,HLOOKUP("Headers",A1:CV300,52,FALSE)/HLOOKUP("Shots",A1:CV300,52,FALSE))</f>
      </c>
      <c r="U52" t="n" s="8679">
        <v>0.0</v>
      </c>
      <c r="V52" s="8680">
        <f>IF(HLOOKUP("Shots",A1:CV300,52,FALSE)=0,0,HLOOKUP("SOT",A1:CV300,52,FALSE)/HLOOKUP("Shots",A1:CV300,52,FALSE))</f>
      </c>
      <c r="W52" s="8681">
        <f>IF(HLOOKUP("Shots",A1:CV300,52,FALSE)=0,0,HLOOKUP("Gs",A1:CV300,52,FALSE)/HLOOKUP("Shots",A1:CV300,52,FALSE))</f>
      </c>
      <c r="X52" t="n" s="8682">
        <v>0.0</v>
      </c>
      <c r="Y52" t="n" s="8683">
        <v>0.0</v>
      </c>
      <c r="Z52" t="n" s="8684">
        <v>1.0</v>
      </c>
      <c r="AA52" s="8685">
        <f>IF(HLOOKUP("KP",A1:CV300,52,FALSE)=0,0,HLOOKUP("As",A1:CV300,52,FALSE)/HLOOKUP("KP",A1:CV300,52,FALSE))</f>
      </c>
      <c r="AB52" t="n" s="8686">
        <v>7.3</v>
      </c>
      <c r="AC52" t="n" s="8687">
        <v>0.0</v>
      </c>
      <c r="AD52" t="n" s="8688">
        <v>0.0</v>
      </c>
      <c r="AE52" t="n" s="8689">
        <v>0.0</v>
      </c>
      <c r="AF52" t="n" s="8690">
        <v>0.0</v>
      </c>
      <c r="AG52" s="8691">
        <f>IF(HLOOKUP("BC",A1:CV300,52,FALSE)=0,0,HLOOKUP("Gs - BC",A1:CV300,52,FALSE)/HLOOKUP("BC",A1:CV300,52,FALSE))</f>
      </c>
      <c r="AH52" s="8692">
        <f>HLOOKUP("BC",A1:CV300,52,FALSE) - HLOOKUP("BC Miss",A1:CV300,52,FALSE)</f>
      </c>
      <c r="AI52" s="8693">
        <f>IF(HLOOKUP("Gs",A1:CV300,52,FALSE)=0,0,HLOOKUP("Gs - BC",A1:CV300,52,FALSE)/HLOOKUP("Gs",A1:CV300,52,FALSE))</f>
      </c>
      <c r="AJ52" t="n" s="8694">
        <v>0.0</v>
      </c>
      <c r="AK52" t="n" s="8695">
        <v>0.0</v>
      </c>
      <c r="AL52" s="8696">
        <f>HLOOKUP("BC",A1:CV300,52,FALSE) - (HLOOKUP("PK Gs",A1:CV300,52,FALSE) + HLOOKUP("PK Miss",A1:CV300,52,FALSE))</f>
      </c>
      <c r="AM52" s="8697">
        <f>HLOOKUP("BC Miss",A1:CV300,52,FALSE) - HLOOKUP("PK Miss",A1:CV300,52,FALSE)</f>
      </c>
      <c r="AN52" s="8698">
        <f>IF(HLOOKUP("BC - Open",A1:CV300,52,FALSE)=0,0,HLOOKUP("BC - Open Miss",A1:CV300,52,FALSE)/HLOOKUP("BC - Open",A1:CV300,52,FALSE))</f>
      </c>
      <c r="AO52" t="n" s="8699">
        <v>0.0</v>
      </c>
      <c r="AP52" s="8700">
        <f>IF(HLOOKUP("Gs",A1:CV300,52,FALSE)=0,0,HLOOKUP("GIB",A1:CV300,52,FALSE)/HLOOKUP("Gs",A1:CV300,52,FALSE))</f>
      </c>
      <c r="AQ52" t="n" s="8701">
        <v>0.0</v>
      </c>
      <c r="AR52" s="8702">
        <f>IF(HLOOKUP("Gs",A1:CV300,52,FALSE)=0,0,HLOOKUP("Gs - Open",A1:CV300,52,FALSE)/HLOOKUP("Gs",A1:CV300,52,FALSE))</f>
      </c>
      <c r="AS52" t="n" s="8703">
        <v>0.0</v>
      </c>
      <c r="AT52" t="n" s="8704">
        <v>0.01</v>
      </c>
      <c r="AU52" s="8705">
        <f>IF(HLOOKUP("Mins",A1:CV300,52,FALSE)=0,0,HLOOKUP("Pts",A1:CV300,52,FALSE)/HLOOKUP("Mins",A1:CV300,52,FALSE)* 90)</f>
      </c>
      <c r="AV52" s="8706">
        <f>IF(HLOOKUP("Apps",A1:CV300,52,FALSE)=0,0,HLOOKUP("Pts",A1:CV300,52,FALSE)/HLOOKUP("Apps",A1:CV300,52,FALSE)* 1)</f>
      </c>
      <c r="AW52" s="8707">
        <f>IF(HLOOKUP("Mins",A1:CV300,52,FALSE)=0,0,HLOOKUP("Gs",A1:CV300,52,FALSE)/HLOOKUP("Mins",A1:CV300,52,FALSE)* 90)</f>
      </c>
      <c r="AX52" s="8708">
        <f>IF(HLOOKUP("Mins",A1:CV300,52,FALSE)=0,0,HLOOKUP("Bonus",A1:CV300,52,FALSE)/HLOOKUP("Mins",A1:CV300,52,FALSE)* 90)</f>
      </c>
      <c r="AY52" s="8709">
        <f>IF(HLOOKUP("Mins",A1:CV300,52,FALSE)=0,0,HLOOKUP("BPS",A1:CV300,52,FALSE)/HLOOKUP("Mins",A1:CV300,52,FALSE)* 90)</f>
      </c>
      <c r="AZ52" s="8710">
        <f>IF(HLOOKUP("Mins",A1:CV300,52,FALSE)=0,0,HLOOKUP("Base BPS",A1:CV300,52,FALSE)/HLOOKUP("Mins",A1:CV300,52,FALSE)* 90)</f>
      </c>
      <c r="BA52" s="8711">
        <f>IF(HLOOKUP("Mins",A1:CV300,52,FALSE)=0,0,HLOOKUP("PenTchs",A1:CV300,52,FALSE)/HLOOKUP("Mins",A1:CV300,52,FALSE)* 90)</f>
      </c>
      <c r="BB52" s="8712">
        <f>IF(HLOOKUP("Mins",A1:CV300,52,FALSE)=0,0,HLOOKUP("Shots",A1:CV300,52,FALSE)/HLOOKUP("Mins",A1:CV300,52,FALSE)* 90)</f>
      </c>
      <c r="BC52" s="8713">
        <f>IF(HLOOKUP("Mins",A1:CV300,52,FALSE)=0,0,HLOOKUP("SIB",A1:CV300,52,FALSE)/HLOOKUP("Mins",A1:CV300,52,FALSE)* 90)</f>
      </c>
      <c r="BD52" s="8714">
        <f>IF(HLOOKUP("Mins",A1:CV300,52,FALSE)=0,0,HLOOKUP("S6YD",A1:CV300,52,FALSE)/HLOOKUP("Mins",A1:CV300,52,FALSE)* 90)</f>
      </c>
      <c r="BE52" s="8715">
        <f>IF(HLOOKUP("Mins",A1:CV300,52,FALSE)=0,0,HLOOKUP("Headers",A1:CV300,52,FALSE)/HLOOKUP("Mins",A1:CV300,52,FALSE)* 90)</f>
      </c>
      <c r="BF52" s="8716">
        <f>IF(HLOOKUP("Mins",A1:CV300,52,FALSE)=0,0,HLOOKUP("SOT",A1:CV300,52,FALSE)/HLOOKUP("Mins",A1:CV300,52,FALSE)* 90)</f>
      </c>
      <c r="BG52" s="8717">
        <f>IF(HLOOKUP("Mins",A1:CV300,52,FALSE)=0,0,HLOOKUP("As",A1:CV300,52,FALSE)/HLOOKUP("Mins",A1:CV300,52,FALSE)* 90)</f>
      </c>
      <c r="BH52" s="8718">
        <f>IF(HLOOKUP("Mins",A1:CV300,52,FALSE)=0,0,HLOOKUP("FPL As",A1:CV300,52,FALSE)/HLOOKUP("Mins",A1:CV300,52,FALSE)* 90)</f>
      </c>
      <c r="BI52" s="8719">
        <f>IF(HLOOKUP("Mins",A1:CV300,52,FALSE)=0,0,HLOOKUP("BC Created",A1:CV300,52,FALSE)/HLOOKUP("Mins",A1:CV300,52,FALSE)* 90)</f>
      </c>
      <c r="BJ52" s="8720">
        <f>IF(HLOOKUP("Mins",A1:CV300,52,FALSE)=0,0,HLOOKUP("KP",A1:CV300,52,FALSE)/HLOOKUP("Mins",A1:CV300,52,FALSE)* 90)</f>
      </c>
      <c r="BK52" s="8721">
        <f>IF(HLOOKUP("Mins",A1:CV300,52,FALSE)=0,0,HLOOKUP("BC",A1:CV300,52,FALSE)/HLOOKUP("Mins",A1:CV300,52,FALSE)* 90)</f>
      </c>
      <c r="BL52" s="8722">
        <f>IF(HLOOKUP("Mins",A1:CV300,52,FALSE)=0,0,HLOOKUP("BC Miss",A1:CV300,52,FALSE)/HLOOKUP("Mins",A1:CV300,52,FALSE)* 90)</f>
      </c>
      <c r="BM52" s="8723">
        <f>IF(HLOOKUP("Mins",A1:CV300,52,FALSE)=0,0,HLOOKUP("Gs - BC",A1:CV300,52,FALSE)/HLOOKUP("Mins",A1:CV300,52,FALSE)* 90)</f>
      </c>
      <c r="BN52" s="8724">
        <f>IF(HLOOKUP("Mins",A1:CV300,52,FALSE)=0,0,HLOOKUP("GIB",A1:CV300,52,FALSE)/HLOOKUP("Mins",A1:CV300,52,FALSE)* 90)</f>
      </c>
      <c r="BO52" s="8725">
        <f>IF(HLOOKUP("Mins",A1:CV300,52,FALSE)=0,0,HLOOKUP("Gs - Open",A1:CV300,52,FALSE)/HLOOKUP("Mins",A1:CV300,52,FALSE)* 90)</f>
      </c>
      <c r="BP52" s="8726">
        <f>IF(HLOOKUP("Mins",A1:CV300,52,FALSE)=0,0,HLOOKUP("ICT Index",A1:CV300,52,FALSE)/HLOOKUP("Mins",A1:CV300,52,FALSE)* 90)</f>
      </c>
      <c r="BQ52" s="8727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8728">
        <f>0.0825*HLOOKUP("KP/90",A1:CV300,52,FALSE)</f>
      </c>
      <c r="BS52" s="8729">
        <f>6*HLOOKUP("xG/90",A1:CV300,52,FALSE)+3*HLOOKUP("xA/90",A1:CV300,52,FALSE)</f>
      </c>
      <c r="BT52" s="8730">
        <f>HLOOKUP("xPts/90",A1:CV300,52,FALSE)-(6*0.75*(HLOOKUP("PK Gs",A1:CV300,52,FALSE)+HLOOKUP("PK Miss",A1:CV300,52,FALSE))*90/HLOOKUP("Mins",A1:CV300,52,FALSE))</f>
      </c>
      <c r="BU52" s="8731">
        <f>IF(HLOOKUP("Mins",A1:CV300,52,FALSE)=0,0,HLOOKUP("fsXG",A1:CV300,52,FALSE)/HLOOKUP("Mins",A1:CV300,52,FALSE)* 90)</f>
      </c>
      <c r="BV52" s="8732">
        <f>IF(HLOOKUP("Mins",A1:CV300,52,FALSE)=0,0,HLOOKUP("fsXA",A1:CV300,52,FALSE)/HLOOKUP("Mins",A1:CV300,52,FALSE)* 90)</f>
      </c>
      <c r="BW52" s="8733">
        <f>6*HLOOKUP("fsXG/90",A1:CV300,52,FALSE)+3*HLOOKUP("fsXA/90",A1:CV300,52,FALSE)</f>
      </c>
      <c r="BX52" t="n" s="8734">
        <v>0.0</v>
      </c>
      <c r="BY52" t="n" s="8735">
        <v>0.011384936980903149</v>
      </c>
      <c r="BZ52" s="8736">
        <f>6*HLOOKUP("uXG/90",A1:CV300,52,FALSE)+3*HLOOKUP("uXA/90",A1:CV300,52,FALSE)</f>
      </c>
    </row>
    <row r="53">
      <c r="A53" t="s" s="8737">
        <v>209</v>
      </c>
      <c r="B53" t="s" s="8738">
        <v>80</v>
      </c>
      <c r="C53" t="n" s="8739">
        <v>5.699999809265137</v>
      </c>
      <c r="D53" t="n" s="8740">
        <v>450.0</v>
      </c>
      <c r="E53" t="n" s="8741">
        <v>5.0</v>
      </c>
      <c r="F53" t="n" s="8742">
        <v>54.0</v>
      </c>
      <c r="G53" t="n" s="8743">
        <v>0.0</v>
      </c>
      <c r="H53" t="n" s="8744">
        <v>6.0</v>
      </c>
      <c r="I53" t="n" s="8745">
        <v>303.0</v>
      </c>
      <c r="J53" s="8746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8747">
        <v>0.0</v>
      </c>
      <c r="L53" t="n" s="8748">
        <v>3.0</v>
      </c>
      <c r="M53" t="n" s="8749">
        <v>3.0</v>
      </c>
      <c r="N53" t="n" s="8750">
        <v>6.0</v>
      </c>
      <c r="O53" t="n" s="8751">
        <v>3.0</v>
      </c>
      <c r="P53" s="8752">
        <f>IF(HLOOKUP("Shots",A1:CV300,53,FALSE)=0,0,HLOOKUP("SIB",A1:CV300,53,FALSE)/HLOOKUP("Shots",A1:CV300,53,FALSE))</f>
      </c>
      <c r="Q53" t="n" s="8753">
        <v>1.0</v>
      </c>
      <c r="R53" s="8754">
        <f>IF(HLOOKUP("Shots",A1:CV300,53,FALSE)=0,0,HLOOKUP("S6YD",A1:CV300,53,FALSE)/HLOOKUP("Shots",A1:CV300,53,FALSE))</f>
      </c>
      <c r="S53" t="n" s="8755">
        <v>1.0</v>
      </c>
      <c r="T53" s="8756">
        <f>IF(HLOOKUP("Shots",A1:CV300,53,FALSE)=0,0,HLOOKUP("Headers",A1:CV300,53,FALSE)/HLOOKUP("Shots",A1:CV300,53,FALSE))</f>
      </c>
      <c r="U53" t="n" s="8757">
        <v>1.0</v>
      </c>
      <c r="V53" s="8758">
        <f>IF(HLOOKUP("Shots",A1:CV300,53,FALSE)=0,0,HLOOKUP("SOT",A1:CV300,53,FALSE)/HLOOKUP("Shots",A1:CV300,53,FALSE))</f>
      </c>
      <c r="W53" s="8759">
        <f>IF(HLOOKUP("Shots",A1:CV300,53,FALSE)=0,0,HLOOKUP("Gs",A1:CV300,53,FALSE)/HLOOKUP("Shots",A1:CV300,53,FALSE))</f>
      </c>
      <c r="X53" t="n" s="8760">
        <v>0.0</v>
      </c>
      <c r="Y53" t="n" s="8761">
        <v>0.0</v>
      </c>
      <c r="Z53" t="n" s="8762">
        <v>1.0</v>
      </c>
      <c r="AA53" s="8763">
        <f>IF(HLOOKUP("KP",A1:CV300,53,FALSE)=0,0,HLOOKUP("As",A1:CV300,53,FALSE)/HLOOKUP("KP",A1:CV300,53,FALSE))</f>
      </c>
      <c r="AB53" t="n" s="8764">
        <v>14.7</v>
      </c>
      <c r="AC53" t="n" s="8765">
        <v>0.0</v>
      </c>
      <c r="AD53" t="n" s="8766">
        <v>0.0</v>
      </c>
      <c r="AE53" t="n" s="8767">
        <v>0.0</v>
      </c>
      <c r="AF53" t="n" s="8768">
        <v>0.0</v>
      </c>
      <c r="AG53" s="8769">
        <f>IF(HLOOKUP("BC",A1:CV300,53,FALSE)=0,0,HLOOKUP("Gs - BC",A1:CV300,53,FALSE)/HLOOKUP("BC",A1:CV300,53,FALSE))</f>
      </c>
      <c r="AH53" s="8770">
        <f>HLOOKUP("BC",A1:CV300,53,FALSE) - HLOOKUP("BC Miss",A1:CV300,53,FALSE)</f>
      </c>
      <c r="AI53" s="8771">
        <f>IF(HLOOKUP("Gs",A1:CV300,53,FALSE)=0,0,HLOOKUP("Gs - BC",A1:CV300,53,FALSE)/HLOOKUP("Gs",A1:CV300,53,FALSE))</f>
      </c>
      <c r="AJ53" t="n" s="8772">
        <v>0.0</v>
      </c>
      <c r="AK53" t="n" s="8773">
        <v>0.0</v>
      </c>
      <c r="AL53" s="8774">
        <f>HLOOKUP("BC",A1:CV300,53,FALSE) - (HLOOKUP("PK Gs",A1:CV300,53,FALSE) + HLOOKUP("PK Miss",A1:CV300,53,FALSE))</f>
      </c>
      <c r="AM53" s="8775">
        <f>HLOOKUP("BC Miss",A1:CV300,53,FALSE) - HLOOKUP("PK Miss",A1:CV300,53,FALSE)</f>
      </c>
      <c r="AN53" s="8776">
        <f>IF(HLOOKUP("BC - Open",A1:CV300,53,FALSE)=0,0,HLOOKUP("BC - Open Miss",A1:CV300,53,FALSE)/HLOOKUP("BC - Open",A1:CV300,53,FALSE))</f>
      </c>
      <c r="AO53" t="n" s="8777">
        <v>0.0</v>
      </c>
      <c r="AP53" s="8778">
        <f>IF(HLOOKUP("Gs",A1:CV300,53,FALSE)=0,0,HLOOKUP("GIB",A1:CV300,53,FALSE)/HLOOKUP("Gs",A1:CV300,53,FALSE))</f>
      </c>
      <c r="AQ53" t="n" s="8779">
        <v>0.0</v>
      </c>
      <c r="AR53" s="8780">
        <f>IF(HLOOKUP("Gs",A1:CV300,53,FALSE)=0,0,HLOOKUP("Gs - Open",A1:CV300,53,FALSE)/HLOOKUP("Gs",A1:CV300,53,FALSE))</f>
      </c>
      <c r="AS53" t="n" s="8781">
        <v>0.26</v>
      </c>
      <c r="AT53" t="n" s="8782">
        <v>0.26</v>
      </c>
      <c r="AU53" s="8783">
        <f>IF(HLOOKUP("Mins",A1:CV300,53,FALSE)=0,0,HLOOKUP("Pts",A1:CV300,53,FALSE)/HLOOKUP("Mins",A1:CV300,53,FALSE)* 90)</f>
      </c>
      <c r="AV53" s="8784">
        <f>IF(HLOOKUP("Apps",A1:CV300,53,FALSE)=0,0,HLOOKUP("Pts",A1:CV300,53,FALSE)/HLOOKUP("Apps",A1:CV300,53,FALSE)* 1)</f>
      </c>
      <c r="AW53" s="8785">
        <f>IF(HLOOKUP("Mins",A1:CV300,53,FALSE)=0,0,HLOOKUP("Gs",A1:CV300,53,FALSE)/HLOOKUP("Mins",A1:CV300,53,FALSE)* 90)</f>
      </c>
      <c r="AX53" s="8786">
        <f>IF(HLOOKUP("Mins",A1:CV300,53,FALSE)=0,0,HLOOKUP("Bonus",A1:CV300,53,FALSE)/HLOOKUP("Mins",A1:CV300,53,FALSE)* 90)</f>
      </c>
      <c r="AY53" s="8787">
        <f>IF(HLOOKUP("Mins",A1:CV300,53,FALSE)=0,0,HLOOKUP("BPS",A1:CV300,53,FALSE)/HLOOKUP("Mins",A1:CV300,53,FALSE)* 90)</f>
      </c>
      <c r="AZ53" s="8788">
        <f>IF(HLOOKUP("Mins",A1:CV300,53,FALSE)=0,0,HLOOKUP("Base BPS",A1:CV300,53,FALSE)/HLOOKUP("Mins",A1:CV300,53,FALSE)* 90)</f>
      </c>
      <c r="BA53" s="8789">
        <f>IF(HLOOKUP("Mins",A1:CV300,53,FALSE)=0,0,HLOOKUP("PenTchs",A1:CV300,53,FALSE)/HLOOKUP("Mins",A1:CV300,53,FALSE)* 90)</f>
      </c>
      <c r="BB53" s="8790">
        <f>IF(HLOOKUP("Mins",A1:CV300,53,FALSE)=0,0,HLOOKUP("Shots",A1:CV300,53,FALSE)/HLOOKUP("Mins",A1:CV300,53,FALSE)* 90)</f>
      </c>
      <c r="BC53" s="8791">
        <f>IF(HLOOKUP("Mins",A1:CV300,53,FALSE)=0,0,HLOOKUP("SIB",A1:CV300,53,FALSE)/HLOOKUP("Mins",A1:CV300,53,FALSE)* 90)</f>
      </c>
      <c r="BD53" s="8792">
        <f>IF(HLOOKUP("Mins",A1:CV300,53,FALSE)=0,0,HLOOKUP("S6YD",A1:CV300,53,FALSE)/HLOOKUP("Mins",A1:CV300,53,FALSE)* 90)</f>
      </c>
      <c r="BE53" s="8793">
        <f>IF(HLOOKUP("Mins",A1:CV300,53,FALSE)=0,0,HLOOKUP("Headers",A1:CV300,53,FALSE)/HLOOKUP("Mins",A1:CV300,53,FALSE)* 90)</f>
      </c>
      <c r="BF53" s="8794">
        <f>IF(HLOOKUP("Mins",A1:CV300,53,FALSE)=0,0,HLOOKUP("SOT",A1:CV300,53,FALSE)/HLOOKUP("Mins",A1:CV300,53,FALSE)* 90)</f>
      </c>
      <c r="BG53" s="8795">
        <f>IF(HLOOKUP("Mins",A1:CV300,53,FALSE)=0,0,HLOOKUP("As",A1:CV300,53,FALSE)/HLOOKUP("Mins",A1:CV300,53,FALSE)* 90)</f>
      </c>
      <c r="BH53" s="8796">
        <f>IF(HLOOKUP("Mins",A1:CV300,53,FALSE)=0,0,HLOOKUP("FPL As",A1:CV300,53,FALSE)/HLOOKUP("Mins",A1:CV300,53,FALSE)* 90)</f>
      </c>
      <c r="BI53" s="8797">
        <f>IF(HLOOKUP("Mins",A1:CV300,53,FALSE)=0,0,HLOOKUP("BC Created",A1:CV300,53,FALSE)/HLOOKUP("Mins",A1:CV300,53,FALSE)* 90)</f>
      </c>
      <c r="BJ53" s="8798">
        <f>IF(HLOOKUP("Mins",A1:CV300,53,FALSE)=0,0,HLOOKUP("KP",A1:CV300,53,FALSE)/HLOOKUP("Mins",A1:CV300,53,FALSE)* 90)</f>
      </c>
      <c r="BK53" s="8799">
        <f>IF(HLOOKUP("Mins",A1:CV300,53,FALSE)=0,0,HLOOKUP("BC",A1:CV300,53,FALSE)/HLOOKUP("Mins",A1:CV300,53,FALSE)* 90)</f>
      </c>
      <c r="BL53" s="8800">
        <f>IF(HLOOKUP("Mins",A1:CV300,53,FALSE)=0,0,HLOOKUP("BC Miss",A1:CV300,53,FALSE)/HLOOKUP("Mins",A1:CV300,53,FALSE)* 90)</f>
      </c>
      <c r="BM53" s="8801">
        <f>IF(HLOOKUP("Mins",A1:CV300,53,FALSE)=0,0,HLOOKUP("Gs - BC",A1:CV300,53,FALSE)/HLOOKUP("Mins",A1:CV300,53,FALSE)* 90)</f>
      </c>
      <c r="BN53" s="8802">
        <f>IF(HLOOKUP("Mins",A1:CV300,53,FALSE)=0,0,HLOOKUP("GIB",A1:CV300,53,FALSE)/HLOOKUP("Mins",A1:CV300,53,FALSE)* 90)</f>
      </c>
      <c r="BO53" s="8803">
        <f>IF(HLOOKUP("Mins",A1:CV300,53,FALSE)=0,0,HLOOKUP("Gs - Open",A1:CV300,53,FALSE)/HLOOKUP("Mins",A1:CV300,53,FALSE)* 90)</f>
      </c>
      <c r="BP53" s="8804">
        <f>IF(HLOOKUP("Mins",A1:CV300,53,FALSE)=0,0,HLOOKUP("ICT Index",A1:CV300,53,FALSE)/HLOOKUP("Mins",A1:CV300,53,FALSE)* 90)</f>
      </c>
      <c r="BQ53" s="8805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8806">
        <f>0.0825*HLOOKUP("KP/90",A1:CV300,53,FALSE)</f>
      </c>
      <c r="BS53" s="8807">
        <f>6*HLOOKUP("xG/90",A1:CV300,53,FALSE)+3*HLOOKUP("xA/90",A1:CV300,53,FALSE)</f>
      </c>
      <c r="BT53" s="8808">
        <f>HLOOKUP("xPts/90",A1:CV300,53,FALSE)-(6*0.75*(HLOOKUP("PK Gs",A1:CV300,53,FALSE)+HLOOKUP("PK Miss",A1:CV300,53,FALSE))*90/HLOOKUP("Mins",A1:CV300,53,FALSE))</f>
      </c>
      <c r="BU53" s="8809">
        <f>IF(HLOOKUP("Mins",A1:CV300,53,FALSE)=0,0,HLOOKUP("fsXG",A1:CV300,53,FALSE)/HLOOKUP("Mins",A1:CV300,53,FALSE)* 90)</f>
      </c>
      <c r="BV53" s="8810">
        <f>IF(HLOOKUP("Mins",A1:CV300,53,FALSE)=0,0,HLOOKUP("fsXA",A1:CV300,53,FALSE)/HLOOKUP("Mins",A1:CV300,53,FALSE)* 90)</f>
      </c>
      <c r="BW53" s="8811">
        <f>6*HLOOKUP("fsXG/90",A1:CV300,53,FALSE)+3*HLOOKUP("fsXA/90",A1:CV300,53,FALSE)</f>
      </c>
      <c r="BX53" t="n" s="8812">
        <v>0.056068189442157745</v>
      </c>
      <c r="BY53" t="n" s="8813">
        <v>0.024972978979349136</v>
      </c>
      <c r="BZ53" s="8814">
        <f>6*HLOOKUP("uXG/90",A1:CV300,53,FALSE)+3*HLOOKUP("uXA/90",A1:CV300,53,FALSE)</f>
      </c>
    </row>
    <row r="54">
      <c r="A54" t="s" s="8815">
        <v>210</v>
      </c>
      <c r="B54" t="s" s="8816">
        <v>147</v>
      </c>
      <c r="C54" t="n" s="8817">
        <v>6.0</v>
      </c>
      <c r="D54" t="n" s="8818">
        <v>540.0</v>
      </c>
      <c r="E54" t="n" s="8819">
        <v>6.0</v>
      </c>
      <c r="F54" t="n" s="8820">
        <v>18.0</v>
      </c>
      <c r="G54" t="n" s="8821">
        <v>0.0</v>
      </c>
      <c r="H54" t="n" s="8822">
        <v>0.0</v>
      </c>
      <c r="I54" t="n" s="8823">
        <v>114.0</v>
      </c>
      <c r="J54" s="8824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8825">
        <v>0.0</v>
      </c>
      <c r="L54" t="n" s="8826">
        <v>2.0</v>
      </c>
      <c r="M54" t="n" s="8827">
        <v>2.0</v>
      </c>
      <c r="N54" t="n" s="8828">
        <v>2.0</v>
      </c>
      <c r="O54" t="n" s="8829">
        <v>1.0</v>
      </c>
      <c r="P54" s="8830">
        <f>IF(HLOOKUP("Shots",A1:CV300,54,FALSE)=0,0,HLOOKUP("SIB",A1:CV300,54,FALSE)/HLOOKUP("Shots",A1:CV300,54,FALSE))</f>
      </c>
      <c r="Q54" t="n" s="8831">
        <v>0.0</v>
      </c>
      <c r="R54" s="8832">
        <f>IF(HLOOKUP("Shots",A1:CV300,54,FALSE)=0,0,HLOOKUP("S6YD",A1:CV300,54,FALSE)/HLOOKUP("Shots",A1:CV300,54,FALSE))</f>
      </c>
      <c r="S54" t="n" s="8833">
        <v>1.0</v>
      </c>
      <c r="T54" s="8834">
        <f>IF(HLOOKUP("Shots",A1:CV300,54,FALSE)=0,0,HLOOKUP("Headers",A1:CV300,54,FALSE)/HLOOKUP("Shots",A1:CV300,54,FALSE))</f>
      </c>
      <c r="U54" t="n" s="8835">
        <v>0.0</v>
      </c>
      <c r="V54" s="8836">
        <f>IF(HLOOKUP("Shots",A1:CV300,54,FALSE)=0,0,HLOOKUP("SOT",A1:CV300,54,FALSE)/HLOOKUP("Shots",A1:CV300,54,FALSE))</f>
      </c>
      <c r="W54" s="8837">
        <f>IF(HLOOKUP("Shots",A1:CV300,54,FALSE)=0,0,HLOOKUP("Gs",A1:CV300,54,FALSE)/HLOOKUP("Shots",A1:CV300,54,FALSE))</f>
      </c>
      <c r="X54" t="n" s="8838">
        <v>0.0</v>
      </c>
      <c r="Y54" t="n" s="8839">
        <v>0.0</v>
      </c>
      <c r="Z54" t="n" s="8840">
        <v>0.0</v>
      </c>
      <c r="AA54" s="8841">
        <f>IF(HLOOKUP("KP",A1:CV300,54,FALSE)=0,0,HLOOKUP("As",A1:CV300,54,FALSE)/HLOOKUP("KP",A1:CV300,54,FALSE))</f>
      </c>
      <c r="AB54" t="n" s="8842">
        <v>12.7</v>
      </c>
      <c r="AC54" t="n" s="8843">
        <v>0.0</v>
      </c>
      <c r="AD54" t="n" s="8844">
        <v>0.0</v>
      </c>
      <c r="AE54" t="n" s="8845">
        <v>0.0</v>
      </c>
      <c r="AF54" t="n" s="8846">
        <v>0.0</v>
      </c>
      <c r="AG54" s="8847">
        <f>IF(HLOOKUP("BC",A1:CV300,54,FALSE)=0,0,HLOOKUP("Gs - BC",A1:CV300,54,FALSE)/HLOOKUP("BC",A1:CV300,54,FALSE))</f>
      </c>
      <c r="AH54" s="8848">
        <f>HLOOKUP("BC",A1:CV300,54,FALSE) - HLOOKUP("BC Miss",A1:CV300,54,FALSE)</f>
      </c>
      <c r="AI54" s="8849">
        <f>IF(HLOOKUP("Gs",A1:CV300,54,FALSE)=0,0,HLOOKUP("Gs - BC",A1:CV300,54,FALSE)/HLOOKUP("Gs",A1:CV300,54,FALSE))</f>
      </c>
      <c r="AJ54" t="n" s="8850">
        <v>0.0</v>
      </c>
      <c r="AK54" t="n" s="8851">
        <v>0.0</v>
      </c>
      <c r="AL54" s="8852">
        <f>HLOOKUP("BC",A1:CV300,54,FALSE) - (HLOOKUP("PK Gs",A1:CV300,54,FALSE) + HLOOKUP("PK Miss",A1:CV300,54,FALSE))</f>
      </c>
      <c r="AM54" s="8853">
        <f>HLOOKUP("BC Miss",A1:CV300,54,FALSE) - HLOOKUP("PK Miss",A1:CV300,54,FALSE)</f>
      </c>
      <c r="AN54" s="8854">
        <f>IF(HLOOKUP("BC - Open",A1:CV300,54,FALSE)=0,0,HLOOKUP("BC - Open Miss",A1:CV300,54,FALSE)/HLOOKUP("BC - Open",A1:CV300,54,FALSE))</f>
      </c>
      <c r="AO54" t="n" s="8855">
        <v>0.0</v>
      </c>
      <c r="AP54" s="8856">
        <f>IF(HLOOKUP("Gs",A1:CV300,54,FALSE)=0,0,HLOOKUP("GIB",A1:CV300,54,FALSE)/HLOOKUP("Gs",A1:CV300,54,FALSE))</f>
      </c>
      <c r="AQ54" t="n" s="8857">
        <v>0.0</v>
      </c>
      <c r="AR54" s="8858">
        <f>IF(HLOOKUP("Gs",A1:CV300,54,FALSE)=0,0,HLOOKUP("Gs - Open",A1:CV300,54,FALSE)/HLOOKUP("Gs",A1:CV300,54,FALSE))</f>
      </c>
      <c r="AS54" t="n" s="8859">
        <v>0.07</v>
      </c>
      <c r="AT54" t="n" s="8860">
        <v>0.06</v>
      </c>
      <c r="AU54" s="8861">
        <f>IF(HLOOKUP("Mins",A1:CV300,54,FALSE)=0,0,HLOOKUP("Pts",A1:CV300,54,FALSE)/HLOOKUP("Mins",A1:CV300,54,FALSE)* 90)</f>
      </c>
      <c r="AV54" s="8862">
        <f>IF(HLOOKUP("Apps",A1:CV300,54,FALSE)=0,0,HLOOKUP("Pts",A1:CV300,54,FALSE)/HLOOKUP("Apps",A1:CV300,54,FALSE)* 1)</f>
      </c>
      <c r="AW54" s="8863">
        <f>IF(HLOOKUP("Mins",A1:CV300,54,FALSE)=0,0,HLOOKUP("Gs",A1:CV300,54,FALSE)/HLOOKUP("Mins",A1:CV300,54,FALSE)* 90)</f>
      </c>
      <c r="AX54" s="8864">
        <f>IF(HLOOKUP("Mins",A1:CV300,54,FALSE)=0,0,HLOOKUP("Bonus",A1:CV300,54,FALSE)/HLOOKUP("Mins",A1:CV300,54,FALSE)* 90)</f>
      </c>
      <c r="AY54" s="8865">
        <f>IF(HLOOKUP("Mins",A1:CV300,54,FALSE)=0,0,HLOOKUP("BPS",A1:CV300,54,FALSE)/HLOOKUP("Mins",A1:CV300,54,FALSE)* 90)</f>
      </c>
      <c r="AZ54" s="8866">
        <f>IF(HLOOKUP("Mins",A1:CV300,54,FALSE)=0,0,HLOOKUP("Base BPS",A1:CV300,54,FALSE)/HLOOKUP("Mins",A1:CV300,54,FALSE)* 90)</f>
      </c>
      <c r="BA54" s="8867">
        <f>IF(HLOOKUP("Mins",A1:CV300,54,FALSE)=0,0,HLOOKUP("PenTchs",A1:CV300,54,FALSE)/HLOOKUP("Mins",A1:CV300,54,FALSE)* 90)</f>
      </c>
      <c r="BB54" s="8868">
        <f>IF(HLOOKUP("Mins",A1:CV300,54,FALSE)=0,0,HLOOKUP("Shots",A1:CV300,54,FALSE)/HLOOKUP("Mins",A1:CV300,54,FALSE)* 90)</f>
      </c>
      <c r="BC54" s="8869">
        <f>IF(HLOOKUP("Mins",A1:CV300,54,FALSE)=0,0,HLOOKUP("SIB",A1:CV300,54,FALSE)/HLOOKUP("Mins",A1:CV300,54,FALSE)* 90)</f>
      </c>
      <c r="BD54" s="8870">
        <f>IF(HLOOKUP("Mins",A1:CV300,54,FALSE)=0,0,HLOOKUP("S6YD",A1:CV300,54,FALSE)/HLOOKUP("Mins",A1:CV300,54,FALSE)* 90)</f>
      </c>
      <c r="BE54" s="8871">
        <f>IF(HLOOKUP("Mins",A1:CV300,54,FALSE)=0,0,HLOOKUP("Headers",A1:CV300,54,FALSE)/HLOOKUP("Mins",A1:CV300,54,FALSE)* 90)</f>
      </c>
      <c r="BF54" s="8872">
        <f>IF(HLOOKUP("Mins",A1:CV300,54,FALSE)=0,0,HLOOKUP("SOT",A1:CV300,54,FALSE)/HLOOKUP("Mins",A1:CV300,54,FALSE)* 90)</f>
      </c>
      <c r="BG54" s="8873">
        <f>IF(HLOOKUP("Mins",A1:CV300,54,FALSE)=0,0,HLOOKUP("As",A1:CV300,54,FALSE)/HLOOKUP("Mins",A1:CV300,54,FALSE)* 90)</f>
      </c>
      <c r="BH54" s="8874">
        <f>IF(HLOOKUP("Mins",A1:CV300,54,FALSE)=0,0,HLOOKUP("FPL As",A1:CV300,54,FALSE)/HLOOKUP("Mins",A1:CV300,54,FALSE)* 90)</f>
      </c>
      <c r="BI54" s="8875">
        <f>IF(HLOOKUP("Mins",A1:CV300,54,FALSE)=0,0,HLOOKUP("BC Created",A1:CV300,54,FALSE)/HLOOKUP("Mins",A1:CV300,54,FALSE)* 90)</f>
      </c>
      <c r="BJ54" s="8876">
        <f>IF(HLOOKUP("Mins",A1:CV300,54,FALSE)=0,0,HLOOKUP("KP",A1:CV300,54,FALSE)/HLOOKUP("Mins",A1:CV300,54,FALSE)* 90)</f>
      </c>
      <c r="BK54" s="8877">
        <f>IF(HLOOKUP("Mins",A1:CV300,54,FALSE)=0,0,HLOOKUP("BC",A1:CV300,54,FALSE)/HLOOKUP("Mins",A1:CV300,54,FALSE)* 90)</f>
      </c>
      <c r="BL54" s="8878">
        <f>IF(HLOOKUP("Mins",A1:CV300,54,FALSE)=0,0,HLOOKUP("BC Miss",A1:CV300,54,FALSE)/HLOOKUP("Mins",A1:CV300,54,FALSE)* 90)</f>
      </c>
      <c r="BM54" s="8879">
        <f>IF(HLOOKUP("Mins",A1:CV300,54,FALSE)=0,0,HLOOKUP("Gs - BC",A1:CV300,54,FALSE)/HLOOKUP("Mins",A1:CV300,54,FALSE)* 90)</f>
      </c>
      <c r="BN54" s="8880">
        <f>IF(HLOOKUP("Mins",A1:CV300,54,FALSE)=0,0,HLOOKUP("GIB",A1:CV300,54,FALSE)/HLOOKUP("Mins",A1:CV300,54,FALSE)* 90)</f>
      </c>
      <c r="BO54" s="8881">
        <f>IF(HLOOKUP("Mins",A1:CV300,54,FALSE)=0,0,HLOOKUP("Gs - Open",A1:CV300,54,FALSE)/HLOOKUP("Mins",A1:CV300,54,FALSE)* 90)</f>
      </c>
      <c r="BP54" s="8882">
        <f>IF(HLOOKUP("Mins",A1:CV300,54,FALSE)=0,0,HLOOKUP("ICT Index",A1:CV300,54,FALSE)/HLOOKUP("Mins",A1:CV300,54,FALSE)* 90)</f>
      </c>
      <c r="BQ54" s="8883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8884">
        <f>0.0825*HLOOKUP("KP/90",A1:CV300,54,FALSE)</f>
      </c>
      <c r="BS54" s="8885">
        <f>6*HLOOKUP("xG/90",A1:CV300,54,FALSE)+3*HLOOKUP("xA/90",A1:CV300,54,FALSE)</f>
      </c>
      <c r="BT54" s="8886">
        <f>HLOOKUP("xPts/90",A1:CV300,54,FALSE)-(6*0.75*(HLOOKUP("PK Gs",A1:CV300,54,FALSE)+HLOOKUP("PK Miss",A1:CV300,54,FALSE))*90/HLOOKUP("Mins",A1:CV300,54,FALSE))</f>
      </c>
      <c r="BU54" s="8887">
        <f>IF(HLOOKUP("Mins",A1:CV300,54,FALSE)=0,0,HLOOKUP("fsXG",A1:CV300,54,FALSE)/HLOOKUP("Mins",A1:CV300,54,FALSE)* 90)</f>
      </c>
      <c r="BV54" s="8888">
        <f>IF(HLOOKUP("Mins",A1:CV300,54,FALSE)=0,0,HLOOKUP("fsXA",A1:CV300,54,FALSE)/HLOOKUP("Mins",A1:CV300,54,FALSE)* 90)</f>
      </c>
      <c r="BW54" s="8889">
        <f>6*HLOOKUP("fsXG/90",A1:CV300,54,FALSE)+3*HLOOKUP("fsXA/90",A1:CV300,54,FALSE)</f>
      </c>
      <c r="BX54" t="n" s="8890">
        <v>0.005669868551194668</v>
      </c>
      <c r="BY54" t="n" s="8891">
        <v>0.0</v>
      </c>
      <c r="BZ54" s="8892">
        <f>6*HLOOKUP("uXG/90",A1:CV300,54,FALSE)+3*HLOOKUP("uXA/90",A1:CV300,54,FALSE)</f>
      </c>
    </row>
    <row r="55">
      <c r="A55" t="s" s="8893">
        <v>211</v>
      </c>
      <c r="B55" t="s" s="8894">
        <v>82</v>
      </c>
      <c r="C55" t="n" s="8895">
        <v>4.300000190734863</v>
      </c>
      <c r="D55" t="n" s="8896">
        <v>180.0</v>
      </c>
      <c r="E55" t="n" s="8897">
        <v>2.0</v>
      </c>
      <c r="F55" t="n" s="8898">
        <v>21.0</v>
      </c>
      <c r="G55" t="n" s="8899">
        <v>0.0</v>
      </c>
      <c r="H55" t="n" s="8900">
        <v>2.0</v>
      </c>
      <c r="I55" t="n" s="8901">
        <v>89.0</v>
      </c>
      <c r="J55" s="8902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8903">
        <v>0.0</v>
      </c>
      <c r="L55" t="n" s="8904">
        <v>2.0</v>
      </c>
      <c r="M55" t="n" s="8905">
        <v>0.0</v>
      </c>
      <c r="N55" t="n" s="8906">
        <v>3.0</v>
      </c>
      <c r="O55" t="n" s="8907">
        <v>0.0</v>
      </c>
      <c r="P55" s="8908">
        <f>IF(HLOOKUP("Shots",A1:CV300,55,FALSE)=0,0,HLOOKUP("SIB",A1:CV300,55,FALSE)/HLOOKUP("Shots",A1:CV300,55,FALSE))</f>
      </c>
      <c r="Q55" t="n" s="8909">
        <v>0.0</v>
      </c>
      <c r="R55" s="8910">
        <f>IF(HLOOKUP("Shots",A1:CV300,55,FALSE)=0,0,HLOOKUP("S6YD",A1:CV300,55,FALSE)/HLOOKUP("Shots",A1:CV300,55,FALSE))</f>
      </c>
      <c r="S55" t="n" s="8911">
        <v>0.0</v>
      </c>
      <c r="T55" s="8912">
        <f>IF(HLOOKUP("Shots",A1:CV300,55,FALSE)=0,0,HLOOKUP("Headers",A1:CV300,55,FALSE)/HLOOKUP("Shots",A1:CV300,55,FALSE))</f>
      </c>
      <c r="U55" t="n" s="8913">
        <v>1.0</v>
      </c>
      <c r="V55" s="8914">
        <f>IF(HLOOKUP("Shots",A1:CV300,55,FALSE)=0,0,HLOOKUP("SOT",A1:CV300,55,FALSE)/HLOOKUP("Shots",A1:CV300,55,FALSE))</f>
      </c>
      <c r="W55" s="8915">
        <f>IF(HLOOKUP("Shots",A1:CV300,55,FALSE)=0,0,HLOOKUP("Gs",A1:CV300,55,FALSE)/HLOOKUP("Shots",A1:CV300,55,FALSE))</f>
      </c>
      <c r="X55" t="n" s="8916">
        <v>0.0</v>
      </c>
      <c r="Y55" t="n" s="8917">
        <v>0.0</v>
      </c>
      <c r="Z55" t="n" s="8918">
        <v>0.0</v>
      </c>
      <c r="AA55" s="8919">
        <f>IF(HLOOKUP("KP",A1:CV300,55,FALSE)=0,0,HLOOKUP("As",A1:CV300,55,FALSE)/HLOOKUP("KP",A1:CV300,55,FALSE))</f>
      </c>
      <c r="AB55" t="n" s="8920">
        <v>5.7</v>
      </c>
      <c r="AC55" t="n" s="8921">
        <v>0.0</v>
      </c>
      <c r="AD55" t="n" s="8922">
        <v>0.0</v>
      </c>
      <c r="AE55" t="n" s="8923">
        <v>0.0</v>
      </c>
      <c r="AF55" t="n" s="8924">
        <v>0.0</v>
      </c>
      <c r="AG55" s="8925">
        <f>IF(HLOOKUP("BC",A1:CV300,55,FALSE)=0,0,HLOOKUP("Gs - BC",A1:CV300,55,FALSE)/HLOOKUP("BC",A1:CV300,55,FALSE))</f>
      </c>
      <c r="AH55" s="8926">
        <f>HLOOKUP("BC",A1:CV300,55,FALSE) - HLOOKUP("BC Miss",A1:CV300,55,FALSE)</f>
      </c>
      <c r="AI55" s="8927">
        <f>IF(HLOOKUP("Gs",A1:CV300,55,FALSE)=0,0,HLOOKUP("Gs - BC",A1:CV300,55,FALSE)/HLOOKUP("Gs",A1:CV300,55,FALSE))</f>
      </c>
      <c r="AJ55" t="n" s="8928">
        <v>0.0</v>
      </c>
      <c r="AK55" t="n" s="8929">
        <v>0.0</v>
      </c>
      <c r="AL55" s="8930">
        <f>HLOOKUP("BC",A1:CV300,55,FALSE) - (HLOOKUP("PK Gs",A1:CV300,55,FALSE) + HLOOKUP("PK Miss",A1:CV300,55,FALSE))</f>
      </c>
      <c r="AM55" s="8931">
        <f>HLOOKUP("BC Miss",A1:CV300,55,FALSE) - HLOOKUP("PK Miss",A1:CV300,55,FALSE)</f>
      </c>
      <c r="AN55" s="8932">
        <f>IF(HLOOKUP("BC - Open",A1:CV300,55,FALSE)=0,0,HLOOKUP("BC - Open Miss",A1:CV300,55,FALSE)/HLOOKUP("BC - Open",A1:CV300,55,FALSE))</f>
      </c>
      <c r="AO55" t="n" s="8933">
        <v>0.0</v>
      </c>
      <c r="AP55" s="8934">
        <f>IF(HLOOKUP("Gs",A1:CV300,55,FALSE)=0,0,HLOOKUP("GIB",A1:CV300,55,FALSE)/HLOOKUP("Gs",A1:CV300,55,FALSE))</f>
      </c>
      <c r="AQ55" t="n" s="8935">
        <v>0.0</v>
      </c>
      <c r="AR55" s="8936">
        <f>IF(HLOOKUP("Gs",A1:CV300,55,FALSE)=0,0,HLOOKUP("Gs - Open",A1:CV300,55,FALSE)/HLOOKUP("Gs",A1:CV300,55,FALSE))</f>
      </c>
      <c r="AS55" t="n" s="8937">
        <v>0.14</v>
      </c>
      <c r="AT55" t="n" s="8938">
        <v>0.05</v>
      </c>
      <c r="AU55" s="8939">
        <f>IF(HLOOKUP("Mins",A1:CV300,55,FALSE)=0,0,HLOOKUP("Pts",A1:CV300,55,FALSE)/HLOOKUP("Mins",A1:CV300,55,FALSE)* 90)</f>
      </c>
      <c r="AV55" s="8940">
        <f>IF(HLOOKUP("Apps",A1:CV300,55,FALSE)=0,0,HLOOKUP("Pts",A1:CV300,55,FALSE)/HLOOKUP("Apps",A1:CV300,55,FALSE)* 1)</f>
      </c>
      <c r="AW55" s="8941">
        <f>IF(HLOOKUP("Mins",A1:CV300,55,FALSE)=0,0,HLOOKUP("Gs",A1:CV300,55,FALSE)/HLOOKUP("Mins",A1:CV300,55,FALSE)* 90)</f>
      </c>
      <c r="AX55" s="8942">
        <f>IF(HLOOKUP("Mins",A1:CV300,55,FALSE)=0,0,HLOOKUP("Bonus",A1:CV300,55,FALSE)/HLOOKUP("Mins",A1:CV300,55,FALSE)* 90)</f>
      </c>
      <c r="AY55" s="8943">
        <f>IF(HLOOKUP("Mins",A1:CV300,55,FALSE)=0,0,HLOOKUP("BPS",A1:CV300,55,FALSE)/HLOOKUP("Mins",A1:CV300,55,FALSE)* 90)</f>
      </c>
      <c r="AZ55" s="8944">
        <f>IF(HLOOKUP("Mins",A1:CV300,55,FALSE)=0,0,HLOOKUP("Base BPS",A1:CV300,55,FALSE)/HLOOKUP("Mins",A1:CV300,55,FALSE)* 90)</f>
      </c>
      <c r="BA55" s="8945">
        <f>IF(HLOOKUP("Mins",A1:CV300,55,FALSE)=0,0,HLOOKUP("PenTchs",A1:CV300,55,FALSE)/HLOOKUP("Mins",A1:CV300,55,FALSE)* 90)</f>
      </c>
      <c r="BB55" s="8946">
        <f>IF(HLOOKUP("Mins",A1:CV300,55,FALSE)=0,0,HLOOKUP("Shots",A1:CV300,55,FALSE)/HLOOKUP("Mins",A1:CV300,55,FALSE)* 90)</f>
      </c>
      <c r="BC55" s="8947">
        <f>IF(HLOOKUP("Mins",A1:CV300,55,FALSE)=0,0,HLOOKUP("SIB",A1:CV300,55,FALSE)/HLOOKUP("Mins",A1:CV300,55,FALSE)* 90)</f>
      </c>
      <c r="BD55" s="8948">
        <f>IF(HLOOKUP("Mins",A1:CV300,55,FALSE)=0,0,HLOOKUP("S6YD",A1:CV300,55,FALSE)/HLOOKUP("Mins",A1:CV300,55,FALSE)* 90)</f>
      </c>
      <c r="BE55" s="8949">
        <f>IF(HLOOKUP("Mins",A1:CV300,55,FALSE)=0,0,HLOOKUP("Headers",A1:CV300,55,FALSE)/HLOOKUP("Mins",A1:CV300,55,FALSE)* 90)</f>
      </c>
      <c r="BF55" s="8950">
        <f>IF(HLOOKUP("Mins",A1:CV300,55,FALSE)=0,0,HLOOKUP("SOT",A1:CV300,55,FALSE)/HLOOKUP("Mins",A1:CV300,55,FALSE)* 90)</f>
      </c>
      <c r="BG55" s="8951">
        <f>IF(HLOOKUP("Mins",A1:CV300,55,FALSE)=0,0,HLOOKUP("As",A1:CV300,55,FALSE)/HLOOKUP("Mins",A1:CV300,55,FALSE)* 90)</f>
      </c>
      <c r="BH55" s="8952">
        <f>IF(HLOOKUP("Mins",A1:CV300,55,FALSE)=0,0,HLOOKUP("FPL As",A1:CV300,55,FALSE)/HLOOKUP("Mins",A1:CV300,55,FALSE)* 90)</f>
      </c>
      <c r="BI55" s="8953">
        <f>IF(HLOOKUP("Mins",A1:CV300,55,FALSE)=0,0,HLOOKUP("BC Created",A1:CV300,55,FALSE)/HLOOKUP("Mins",A1:CV300,55,FALSE)* 90)</f>
      </c>
      <c r="BJ55" s="8954">
        <f>IF(HLOOKUP("Mins",A1:CV300,55,FALSE)=0,0,HLOOKUP("KP",A1:CV300,55,FALSE)/HLOOKUP("Mins",A1:CV300,55,FALSE)* 90)</f>
      </c>
      <c r="BK55" s="8955">
        <f>IF(HLOOKUP("Mins",A1:CV300,55,FALSE)=0,0,HLOOKUP("BC",A1:CV300,55,FALSE)/HLOOKUP("Mins",A1:CV300,55,FALSE)* 90)</f>
      </c>
      <c r="BL55" s="8956">
        <f>IF(HLOOKUP("Mins",A1:CV300,55,FALSE)=0,0,HLOOKUP("BC Miss",A1:CV300,55,FALSE)/HLOOKUP("Mins",A1:CV300,55,FALSE)* 90)</f>
      </c>
      <c r="BM55" s="8957">
        <f>IF(HLOOKUP("Mins",A1:CV300,55,FALSE)=0,0,HLOOKUP("Gs - BC",A1:CV300,55,FALSE)/HLOOKUP("Mins",A1:CV300,55,FALSE)* 90)</f>
      </c>
      <c r="BN55" s="8958">
        <f>IF(HLOOKUP("Mins",A1:CV300,55,FALSE)=0,0,HLOOKUP("GIB",A1:CV300,55,FALSE)/HLOOKUP("Mins",A1:CV300,55,FALSE)* 90)</f>
      </c>
      <c r="BO55" s="8959">
        <f>IF(HLOOKUP("Mins",A1:CV300,55,FALSE)=0,0,HLOOKUP("Gs - Open",A1:CV300,55,FALSE)/HLOOKUP("Mins",A1:CV300,55,FALSE)* 90)</f>
      </c>
      <c r="BP55" s="8960">
        <f>IF(HLOOKUP("Mins",A1:CV300,55,FALSE)=0,0,HLOOKUP("ICT Index",A1:CV300,55,FALSE)/HLOOKUP("Mins",A1:CV300,55,FALSE)* 90)</f>
      </c>
      <c r="BQ55" s="8961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8962">
        <f>0.0825*HLOOKUP("KP/90",A1:CV300,55,FALSE)</f>
      </c>
      <c r="BS55" s="8963">
        <f>6*HLOOKUP("xG/90",A1:CV300,55,FALSE)+3*HLOOKUP("xA/90",A1:CV300,55,FALSE)</f>
      </c>
      <c r="BT55" s="8964">
        <f>HLOOKUP("xPts/90",A1:CV300,55,FALSE)-(6*0.75*(HLOOKUP("PK Gs",A1:CV300,55,FALSE)+HLOOKUP("PK Miss",A1:CV300,55,FALSE))*90/HLOOKUP("Mins",A1:CV300,55,FALSE))</f>
      </c>
      <c r="BU55" s="8965">
        <f>IF(HLOOKUP("Mins",A1:CV300,55,FALSE)=0,0,HLOOKUP("fsXG",A1:CV300,55,FALSE)/HLOOKUP("Mins",A1:CV300,55,FALSE)* 90)</f>
      </c>
      <c r="BV55" s="8966">
        <f>IF(HLOOKUP("Mins",A1:CV300,55,FALSE)=0,0,HLOOKUP("fsXA",A1:CV300,55,FALSE)/HLOOKUP("Mins",A1:CV300,55,FALSE)* 90)</f>
      </c>
      <c r="BW55" s="8967">
        <f>6*HLOOKUP("fsXG/90",A1:CV300,55,FALSE)+3*HLOOKUP("fsXA/90",A1:CV300,55,FALSE)</f>
      </c>
      <c r="BX55" t="n" s="8968">
        <v>0.057627204805612564</v>
      </c>
      <c r="BY55" t="n" s="8969">
        <v>0.0</v>
      </c>
      <c r="BZ55" s="8970">
        <f>6*HLOOKUP("uXG/90",A1:CV300,55,FALSE)+3*HLOOKUP("uXA/90",A1:CV300,55,FALSE)</f>
      </c>
    </row>
    <row r="56">
      <c r="A56" t="s" s="8971">
        <v>212</v>
      </c>
      <c r="B56" t="s" s="8972">
        <v>105</v>
      </c>
      <c r="C56" t="n" s="8973">
        <v>4.5</v>
      </c>
      <c r="D56" t="n" s="8974">
        <v>225.0</v>
      </c>
      <c r="E56" t="n" s="8975">
        <v>3.0</v>
      </c>
      <c r="F56" t="n" s="8976">
        <v>10.0</v>
      </c>
      <c r="G56" t="n" s="8977">
        <v>0.0</v>
      </c>
      <c r="H56" t="n" s="8978">
        <v>0.0</v>
      </c>
      <c r="I56" t="n" s="8979">
        <v>55.0</v>
      </c>
      <c r="J56" s="8980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8981">
        <v>0.0</v>
      </c>
      <c r="L56" t="n" s="8982">
        <v>1.0</v>
      </c>
      <c r="M56" t="n" s="8983">
        <v>0.0</v>
      </c>
      <c r="N56" t="n" s="8984">
        <v>0.0</v>
      </c>
      <c r="O56" t="n" s="8985">
        <v>0.0</v>
      </c>
      <c r="P56" s="8986">
        <f>IF(HLOOKUP("Shots",A1:CV300,56,FALSE)=0,0,HLOOKUP("SIB",A1:CV300,56,FALSE)/HLOOKUP("Shots",A1:CV300,56,FALSE))</f>
      </c>
      <c r="Q56" t="n" s="8987">
        <v>0.0</v>
      </c>
      <c r="R56" s="8988">
        <f>IF(HLOOKUP("Shots",A1:CV300,56,FALSE)=0,0,HLOOKUP("S6YD",A1:CV300,56,FALSE)/HLOOKUP("Shots",A1:CV300,56,FALSE))</f>
      </c>
      <c r="S56" t="n" s="8989">
        <v>0.0</v>
      </c>
      <c r="T56" s="8990">
        <f>IF(HLOOKUP("Shots",A1:CV300,56,FALSE)=0,0,HLOOKUP("Headers",A1:CV300,56,FALSE)/HLOOKUP("Shots",A1:CV300,56,FALSE))</f>
      </c>
      <c r="U56" t="n" s="8991">
        <v>0.0</v>
      </c>
      <c r="V56" s="8992">
        <f>IF(HLOOKUP("Shots",A1:CV300,56,FALSE)=0,0,HLOOKUP("SOT",A1:CV300,56,FALSE)/HLOOKUP("Shots",A1:CV300,56,FALSE))</f>
      </c>
      <c r="W56" s="8993">
        <f>IF(HLOOKUP("Shots",A1:CV300,56,FALSE)=0,0,HLOOKUP("Gs",A1:CV300,56,FALSE)/HLOOKUP("Shots",A1:CV300,56,FALSE))</f>
      </c>
      <c r="X56" t="n" s="8994">
        <v>0.0</v>
      </c>
      <c r="Y56" t="n" s="8995">
        <v>0.0</v>
      </c>
      <c r="Z56" t="n" s="8996">
        <v>0.0</v>
      </c>
      <c r="AA56" s="8997">
        <f>IF(HLOOKUP("KP",A1:CV300,56,FALSE)=0,0,HLOOKUP("As",A1:CV300,56,FALSE)/HLOOKUP("KP",A1:CV300,56,FALSE))</f>
      </c>
      <c r="AB56" t="n" s="8998">
        <v>5.1</v>
      </c>
      <c r="AC56" t="n" s="8999">
        <v>0.0</v>
      </c>
      <c r="AD56" t="n" s="9000">
        <v>0.0</v>
      </c>
      <c r="AE56" t="n" s="9001">
        <v>0.0</v>
      </c>
      <c r="AF56" t="n" s="9002">
        <v>0.0</v>
      </c>
      <c r="AG56" s="9003">
        <f>IF(HLOOKUP("BC",A1:CV300,56,FALSE)=0,0,HLOOKUP("Gs - BC",A1:CV300,56,FALSE)/HLOOKUP("BC",A1:CV300,56,FALSE))</f>
      </c>
      <c r="AH56" s="9004">
        <f>HLOOKUP("BC",A1:CV300,56,FALSE) - HLOOKUP("BC Miss",A1:CV300,56,FALSE)</f>
      </c>
      <c r="AI56" s="9005">
        <f>IF(HLOOKUP("Gs",A1:CV300,56,FALSE)=0,0,HLOOKUP("Gs - BC",A1:CV300,56,FALSE)/HLOOKUP("Gs",A1:CV300,56,FALSE))</f>
      </c>
      <c r="AJ56" t="n" s="9006">
        <v>0.0</v>
      </c>
      <c r="AK56" t="n" s="9007">
        <v>0.0</v>
      </c>
      <c r="AL56" s="9008">
        <f>HLOOKUP("BC",A1:CV300,56,FALSE) - (HLOOKUP("PK Gs",A1:CV300,56,FALSE) + HLOOKUP("PK Miss",A1:CV300,56,FALSE))</f>
      </c>
      <c r="AM56" s="9009">
        <f>HLOOKUP("BC Miss",A1:CV300,56,FALSE) - HLOOKUP("PK Miss",A1:CV300,56,FALSE)</f>
      </c>
      <c r="AN56" s="9010">
        <f>IF(HLOOKUP("BC - Open",A1:CV300,56,FALSE)=0,0,HLOOKUP("BC - Open Miss",A1:CV300,56,FALSE)/HLOOKUP("BC - Open",A1:CV300,56,FALSE))</f>
      </c>
      <c r="AO56" t="n" s="9011">
        <v>0.0</v>
      </c>
      <c r="AP56" s="9012">
        <f>IF(HLOOKUP("Gs",A1:CV300,56,FALSE)=0,0,HLOOKUP("GIB",A1:CV300,56,FALSE)/HLOOKUP("Gs",A1:CV300,56,FALSE))</f>
      </c>
      <c r="AQ56" t="n" s="9013">
        <v>0.0</v>
      </c>
      <c r="AR56" s="9014">
        <f>IF(HLOOKUP("Gs",A1:CV300,56,FALSE)=0,0,HLOOKUP("Gs - Open",A1:CV300,56,FALSE)/HLOOKUP("Gs",A1:CV300,56,FALSE))</f>
      </c>
      <c r="AS56" t="n" s="9015">
        <v>0.0</v>
      </c>
      <c r="AT56" t="n" s="9016">
        <v>0.02</v>
      </c>
      <c r="AU56" s="9017">
        <f>IF(HLOOKUP("Mins",A1:CV300,56,FALSE)=0,0,HLOOKUP("Pts",A1:CV300,56,FALSE)/HLOOKUP("Mins",A1:CV300,56,FALSE)* 90)</f>
      </c>
      <c r="AV56" s="9018">
        <f>IF(HLOOKUP("Apps",A1:CV300,56,FALSE)=0,0,HLOOKUP("Pts",A1:CV300,56,FALSE)/HLOOKUP("Apps",A1:CV300,56,FALSE)* 1)</f>
      </c>
      <c r="AW56" s="9019">
        <f>IF(HLOOKUP("Mins",A1:CV300,56,FALSE)=0,0,HLOOKUP("Gs",A1:CV300,56,FALSE)/HLOOKUP("Mins",A1:CV300,56,FALSE)* 90)</f>
      </c>
      <c r="AX56" s="9020">
        <f>IF(HLOOKUP("Mins",A1:CV300,56,FALSE)=0,0,HLOOKUP("Bonus",A1:CV300,56,FALSE)/HLOOKUP("Mins",A1:CV300,56,FALSE)* 90)</f>
      </c>
      <c r="AY56" s="9021">
        <f>IF(HLOOKUP("Mins",A1:CV300,56,FALSE)=0,0,HLOOKUP("BPS",A1:CV300,56,FALSE)/HLOOKUP("Mins",A1:CV300,56,FALSE)* 90)</f>
      </c>
      <c r="AZ56" s="9022">
        <f>IF(HLOOKUP("Mins",A1:CV300,56,FALSE)=0,0,HLOOKUP("Base BPS",A1:CV300,56,FALSE)/HLOOKUP("Mins",A1:CV300,56,FALSE)* 90)</f>
      </c>
      <c r="BA56" s="9023">
        <f>IF(HLOOKUP("Mins",A1:CV300,56,FALSE)=0,0,HLOOKUP("PenTchs",A1:CV300,56,FALSE)/HLOOKUP("Mins",A1:CV300,56,FALSE)* 90)</f>
      </c>
      <c r="BB56" s="9024">
        <f>IF(HLOOKUP("Mins",A1:CV300,56,FALSE)=0,0,HLOOKUP("Shots",A1:CV300,56,FALSE)/HLOOKUP("Mins",A1:CV300,56,FALSE)* 90)</f>
      </c>
      <c r="BC56" s="9025">
        <f>IF(HLOOKUP("Mins",A1:CV300,56,FALSE)=0,0,HLOOKUP("SIB",A1:CV300,56,FALSE)/HLOOKUP("Mins",A1:CV300,56,FALSE)* 90)</f>
      </c>
      <c r="BD56" s="9026">
        <f>IF(HLOOKUP("Mins",A1:CV300,56,FALSE)=0,0,HLOOKUP("S6YD",A1:CV300,56,FALSE)/HLOOKUP("Mins",A1:CV300,56,FALSE)* 90)</f>
      </c>
      <c r="BE56" s="9027">
        <f>IF(HLOOKUP("Mins",A1:CV300,56,FALSE)=0,0,HLOOKUP("Headers",A1:CV300,56,FALSE)/HLOOKUP("Mins",A1:CV300,56,FALSE)* 90)</f>
      </c>
      <c r="BF56" s="9028">
        <f>IF(HLOOKUP("Mins",A1:CV300,56,FALSE)=0,0,HLOOKUP("SOT",A1:CV300,56,FALSE)/HLOOKUP("Mins",A1:CV300,56,FALSE)* 90)</f>
      </c>
      <c r="BG56" s="9029">
        <f>IF(HLOOKUP("Mins",A1:CV300,56,FALSE)=0,0,HLOOKUP("As",A1:CV300,56,FALSE)/HLOOKUP("Mins",A1:CV300,56,FALSE)* 90)</f>
      </c>
      <c r="BH56" s="9030">
        <f>IF(HLOOKUP("Mins",A1:CV300,56,FALSE)=0,0,HLOOKUP("FPL As",A1:CV300,56,FALSE)/HLOOKUP("Mins",A1:CV300,56,FALSE)* 90)</f>
      </c>
      <c r="BI56" s="9031">
        <f>IF(HLOOKUP("Mins",A1:CV300,56,FALSE)=0,0,HLOOKUP("BC Created",A1:CV300,56,FALSE)/HLOOKUP("Mins",A1:CV300,56,FALSE)* 90)</f>
      </c>
      <c r="BJ56" s="9032">
        <f>IF(HLOOKUP("Mins",A1:CV300,56,FALSE)=0,0,HLOOKUP("KP",A1:CV300,56,FALSE)/HLOOKUP("Mins",A1:CV300,56,FALSE)* 90)</f>
      </c>
      <c r="BK56" s="9033">
        <f>IF(HLOOKUP("Mins",A1:CV300,56,FALSE)=0,0,HLOOKUP("BC",A1:CV300,56,FALSE)/HLOOKUP("Mins",A1:CV300,56,FALSE)* 90)</f>
      </c>
      <c r="BL56" s="9034">
        <f>IF(HLOOKUP("Mins",A1:CV300,56,FALSE)=0,0,HLOOKUP("BC Miss",A1:CV300,56,FALSE)/HLOOKUP("Mins",A1:CV300,56,FALSE)* 90)</f>
      </c>
      <c r="BM56" s="9035">
        <f>IF(HLOOKUP("Mins",A1:CV300,56,FALSE)=0,0,HLOOKUP("Gs - BC",A1:CV300,56,FALSE)/HLOOKUP("Mins",A1:CV300,56,FALSE)* 90)</f>
      </c>
      <c r="BN56" s="9036">
        <f>IF(HLOOKUP("Mins",A1:CV300,56,FALSE)=0,0,HLOOKUP("GIB",A1:CV300,56,FALSE)/HLOOKUP("Mins",A1:CV300,56,FALSE)* 90)</f>
      </c>
      <c r="BO56" s="9037">
        <f>IF(HLOOKUP("Mins",A1:CV300,56,FALSE)=0,0,HLOOKUP("Gs - Open",A1:CV300,56,FALSE)/HLOOKUP("Mins",A1:CV300,56,FALSE)* 90)</f>
      </c>
      <c r="BP56" s="9038">
        <f>IF(HLOOKUP("Mins",A1:CV300,56,FALSE)=0,0,HLOOKUP("ICT Index",A1:CV300,56,FALSE)/HLOOKUP("Mins",A1:CV300,56,FALSE)* 90)</f>
      </c>
      <c r="BQ56" s="9039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9040">
        <f>0.0825*HLOOKUP("KP/90",A1:CV300,56,FALSE)</f>
      </c>
      <c r="BS56" s="9041">
        <f>6*HLOOKUP("xG/90",A1:CV300,56,FALSE)+3*HLOOKUP("xA/90",A1:CV300,56,FALSE)</f>
      </c>
      <c r="BT56" s="9042">
        <f>HLOOKUP("xPts/90",A1:CV300,56,FALSE)-(6*0.75*(HLOOKUP("PK Gs",A1:CV300,56,FALSE)+HLOOKUP("PK Miss",A1:CV300,56,FALSE))*90/HLOOKUP("Mins",A1:CV300,56,FALSE))</f>
      </c>
      <c r="BU56" s="9043">
        <f>IF(HLOOKUP("Mins",A1:CV300,56,FALSE)=0,0,HLOOKUP("fsXG",A1:CV300,56,FALSE)/HLOOKUP("Mins",A1:CV300,56,FALSE)* 90)</f>
      </c>
      <c r="BV56" s="9044">
        <f>IF(HLOOKUP("Mins",A1:CV300,56,FALSE)=0,0,HLOOKUP("fsXA",A1:CV300,56,FALSE)/HLOOKUP("Mins",A1:CV300,56,FALSE)* 90)</f>
      </c>
      <c r="BW56" s="9045">
        <f>6*HLOOKUP("fsXG/90",A1:CV300,56,FALSE)+3*HLOOKUP("fsXA/90",A1:CV300,56,FALSE)</f>
      </c>
      <c r="BX56" t="n" s="9046">
        <v>0.0</v>
      </c>
      <c r="BY56" t="n" s="9047">
        <v>0.0</v>
      </c>
      <c r="BZ56" s="9048">
        <f>6*HLOOKUP("uXG/90",A1:CV300,56,FALSE)+3*HLOOKUP("uXA/90",A1:CV300,56,FALSE)</f>
      </c>
    </row>
    <row r="57">
      <c r="A57" t="s" s="9049">
        <v>213</v>
      </c>
      <c r="B57" t="s" s="9050">
        <v>127</v>
      </c>
      <c r="C57" t="n" s="9051">
        <v>5.199999809265137</v>
      </c>
      <c r="D57" t="n" s="9052">
        <v>450.0</v>
      </c>
      <c r="E57" t="n" s="9053">
        <v>5.0</v>
      </c>
      <c r="F57" t="n" s="9054">
        <v>45.0</v>
      </c>
      <c r="G57" t="n" s="9055">
        <v>0.0</v>
      </c>
      <c r="H57" t="n" s="9056">
        <v>5.0</v>
      </c>
      <c r="I57" t="n" s="9057">
        <v>183.0</v>
      </c>
      <c r="J57" s="9058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9059">
        <v>0.0</v>
      </c>
      <c r="L57" t="n" s="9060">
        <v>6.0</v>
      </c>
      <c r="M57" t="n" s="9061">
        <v>0.0</v>
      </c>
      <c r="N57" t="n" s="9062">
        <v>0.0</v>
      </c>
      <c r="O57" t="n" s="9063">
        <v>0.0</v>
      </c>
      <c r="P57" s="9064">
        <f>IF(HLOOKUP("Shots",A1:CV300,57,FALSE)=0,0,HLOOKUP("SIB",A1:CV300,57,FALSE)/HLOOKUP("Shots",A1:CV300,57,FALSE))</f>
      </c>
      <c r="Q57" t="n" s="9065">
        <v>0.0</v>
      </c>
      <c r="R57" s="9066">
        <f>IF(HLOOKUP("Shots",A1:CV300,57,FALSE)=0,0,HLOOKUP("S6YD",A1:CV300,57,FALSE)/HLOOKUP("Shots",A1:CV300,57,FALSE))</f>
      </c>
      <c r="S57" t="n" s="9067">
        <v>0.0</v>
      </c>
      <c r="T57" s="9068">
        <f>IF(HLOOKUP("Shots",A1:CV300,57,FALSE)=0,0,HLOOKUP("Headers",A1:CV300,57,FALSE)/HLOOKUP("Shots",A1:CV300,57,FALSE))</f>
      </c>
      <c r="U57" t="n" s="9069">
        <v>0.0</v>
      </c>
      <c r="V57" s="9070">
        <f>IF(HLOOKUP("Shots",A1:CV300,57,FALSE)=0,0,HLOOKUP("SOT",A1:CV300,57,FALSE)/HLOOKUP("Shots",A1:CV300,57,FALSE))</f>
      </c>
      <c r="W57" s="9071">
        <f>IF(HLOOKUP("Shots",A1:CV300,57,FALSE)=0,0,HLOOKUP("Gs",A1:CV300,57,FALSE)/HLOOKUP("Shots",A1:CV300,57,FALSE))</f>
      </c>
      <c r="X57" t="n" s="9072">
        <v>0.0</v>
      </c>
      <c r="Y57" t="n" s="9073">
        <v>0.0</v>
      </c>
      <c r="Z57" t="n" s="9074">
        <v>1.0</v>
      </c>
      <c r="AA57" s="9075">
        <f>IF(HLOOKUP("KP",A1:CV300,57,FALSE)=0,0,HLOOKUP("As",A1:CV300,57,FALSE)/HLOOKUP("KP",A1:CV300,57,FALSE))</f>
      </c>
      <c r="AB57" t="n" s="9076">
        <v>11.7</v>
      </c>
      <c r="AC57" t="n" s="9077">
        <v>0.0</v>
      </c>
      <c r="AD57" t="n" s="9078">
        <v>0.0</v>
      </c>
      <c r="AE57" t="n" s="9079">
        <v>0.0</v>
      </c>
      <c r="AF57" t="n" s="9080">
        <v>0.0</v>
      </c>
      <c r="AG57" s="9081">
        <f>IF(HLOOKUP("BC",A1:CV300,57,FALSE)=0,0,HLOOKUP("Gs - BC",A1:CV300,57,FALSE)/HLOOKUP("BC",A1:CV300,57,FALSE))</f>
      </c>
      <c r="AH57" s="9082">
        <f>HLOOKUP("BC",A1:CV300,57,FALSE) - HLOOKUP("BC Miss",A1:CV300,57,FALSE)</f>
      </c>
      <c r="AI57" s="9083">
        <f>IF(HLOOKUP("Gs",A1:CV300,57,FALSE)=0,0,HLOOKUP("Gs - BC",A1:CV300,57,FALSE)/HLOOKUP("Gs",A1:CV300,57,FALSE))</f>
      </c>
      <c r="AJ57" t="n" s="9084">
        <v>0.0</v>
      </c>
      <c r="AK57" t="n" s="9085">
        <v>0.0</v>
      </c>
      <c r="AL57" s="9086">
        <f>HLOOKUP("BC",A1:CV300,57,FALSE) - (HLOOKUP("PK Gs",A1:CV300,57,FALSE) + HLOOKUP("PK Miss",A1:CV300,57,FALSE))</f>
      </c>
      <c r="AM57" s="9087">
        <f>HLOOKUP("BC Miss",A1:CV300,57,FALSE) - HLOOKUP("PK Miss",A1:CV300,57,FALSE)</f>
      </c>
      <c r="AN57" s="9088">
        <f>IF(HLOOKUP("BC - Open",A1:CV300,57,FALSE)=0,0,HLOOKUP("BC - Open Miss",A1:CV300,57,FALSE)/HLOOKUP("BC - Open",A1:CV300,57,FALSE))</f>
      </c>
      <c r="AO57" t="n" s="9089">
        <v>0.0</v>
      </c>
      <c r="AP57" s="9090">
        <f>IF(HLOOKUP("Gs",A1:CV300,57,FALSE)=0,0,HLOOKUP("GIB",A1:CV300,57,FALSE)/HLOOKUP("Gs",A1:CV300,57,FALSE))</f>
      </c>
      <c r="AQ57" t="n" s="9091">
        <v>0.0</v>
      </c>
      <c r="AR57" s="9092">
        <f>IF(HLOOKUP("Gs",A1:CV300,57,FALSE)=0,0,HLOOKUP("Gs - Open",A1:CV300,57,FALSE)/HLOOKUP("Gs",A1:CV300,57,FALSE))</f>
      </c>
      <c r="AS57" t="n" s="9093">
        <v>0.0</v>
      </c>
      <c r="AT57" t="n" s="9094">
        <v>0.05</v>
      </c>
      <c r="AU57" s="9095">
        <f>IF(HLOOKUP("Mins",A1:CV300,57,FALSE)=0,0,HLOOKUP("Pts",A1:CV300,57,FALSE)/HLOOKUP("Mins",A1:CV300,57,FALSE)* 90)</f>
      </c>
      <c r="AV57" s="9096">
        <f>IF(HLOOKUP("Apps",A1:CV300,57,FALSE)=0,0,HLOOKUP("Pts",A1:CV300,57,FALSE)/HLOOKUP("Apps",A1:CV300,57,FALSE)* 1)</f>
      </c>
      <c r="AW57" s="9097">
        <f>IF(HLOOKUP("Mins",A1:CV300,57,FALSE)=0,0,HLOOKUP("Gs",A1:CV300,57,FALSE)/HLOOKUP("Mins",A1:CV300,57,FALSE)* 90)</f>
      </c>
      <c r="AX57" s="9098">
        <f>IF(HLOOKUP("Mins",A1:CV300,57,FALSE)=0,0,HLOOKUP("Bonus",A1:CV300,57,FALSE)/HLOOKUP("Mins",A1:CV300,57,FALSE)* 90)</f>
      </c>
      <c r="AY57" s="9099">
        <f>IF(HLOOKUP("Mins",A1:CV300,57,FALSE)=0,0,HLOOKUP("BPS",A1:CV300,57,FALSE)/HLOOKUP("Mins",A1:CV300,57,FALSE)* 90)</f>
      </c>
      <c r="AZ57" s="9100">
        <f>IF(HLOOKUP("Mins",A1:CV300,57,FALSE)=0,0,HLOOKUP("Base BPS",A1:CV300,57,FALSE)/HLOOKUP("Mins",A1:CV300,57,FALSE)* 90)</f>
      </c>
      <c r="BA57" s="9101">
        <f>IF(HLOOKUP("Mins",A1:CV300,57,FALSE)=0,0,HLOOKUP("PenTchs",A1:CV300,57,FALSE)/HLOOKUP("Mins",A1:CV300,57,FALSE)* 90)</f>
      </c>
      <c r="BB57" s="9102">
        <f>IF(HLOOKUP("Mins",A1:CV300,57,FALSE)=0,0,HLOOKUP("Shots",A1:CV300,57,FALSE)/HLOOKUP("Mins",A1:CV300,57,FALSE)* 90)</f>
      </c>
      <c r="BC57" s="9103">
        <f>IF(HLOOKUP("Mins",A1:CV300,57,FALSE)=0,0,HLOOKUP("SIB",A1:CV300,57,FALSE)/HLOOKUP("Mins",A1:CV300,57,FALSE)* 90)</f>
      </c>
      <c r="BD57" s="9104">
        <f>IF(HLOOKUP("Mins",A1:CV300,57,FALSE)=0,0,HLOOKUP("S6YD",A1:CV300,57,FALSE)/HLOOKUP("Mins",A1:CV300,57,FALSE)* 90)</f>
      </c>
      <c r="BE57" s="9105">
        <f>IF(HLOOKUP("Mins",A1:CV300,57,FALSE)=0,0,HLOOKUP("Headers",A1:CV300,57,FALSE)/HLOOKUP("Mins",A1:CV300,57,FALSE)* 90)</f>
      </c>
      <c r="BF57" s="9106">
        <f>IF(HLOOKUP("Mins",A1:CV300,57,FALSE)=0,0,HLOOKUP("SOT",A1:CV300,57,FALSE)/HLOOKUP("Mins",A1:CV300,57,FALSE)* 90)</f>
      </c>
      <c r="BG57" s="9107">
        <f>IF(HLOOKUP("Mins",A1:CV300,57,FALSE)=0,0,HLOOKUP("As",A1:CV300,57,FALSE)/HLOOKUP("Mins",A1:CV300,57,FALSE)* 90)</f>
      </c>
      <c r="BH57" s="9108">
        <f>IF(HLOOKUP("Mins",A1:CV300,57,FALSE)=0,0,HLOOKUP("FPL As",A1:CV300,57,FALSE)/HLOOKUP("Mins",A1:CV300,57,FALSE)* 90)</f>
      </c>
      <c r="BI57" s="9109">
        <f>IF(HLOOKUP("Mins",A1:CV300,57,FALSE)=0,0,HLOOKUP("BC Created",A1:CV300,57,FALSE)/HLOOKUP("Mins",A1:CV300,57,FALSE)* 90)</f>
      </c>
      <c r="BJ57" s="9110">
        <f>IF(HLOOKUP("Mins",A1:CV300,57,FALSE)=0,0,HLOOKUP("KP",A1:CV300,57,FALSE)/HLOOKUP("Mins",A1:CV300,57,FALSE)* 90)</f>
      </c>
      <c r="BK57" s="9111">
        <f>IF(HLOOKUP("Mins",A1:CV300,57,FALSE)=0,0,HLOOKUP("BC",A1:CV300,57,FALSE)/HLOOKUP("Mins",A1:CV300,57,FALSE)* 90)</f>
      </c>
      <c r="BL57" s="9112">
        <f>IF(HLOOKUP("Mins",A1:CV300,57,FALSE)=0,0,HLOOKUP("BC Miss",A1:CV300,57,FALSE)/HLOOKUP("Mins",A1:CV300,57,FALSE)* 90)</f>
      </c>
      <c r="BM57" s="9113">
        <f>IF(HLOOKUP("Mins",A1:CV300,57,FALSE)=0,0,HLOOKUP("Gs - BC",A1:CV300,57,FALSE)/HLOOKUP("Mins",A1:CV300,57,FALSE)* 90)</f>
      </c>
      <c r="BN57" s="9114">
        <f>IF(HLOOKUP("Mins",A1:CV300,57,FALSE)=0,0,HLOOKUP("GIB",A1:CV300,57,FALSE)/HLOOKUP("Mins",A1:CV300,57,FALSE)* 90)</f>
      </c>
      <c r="BO57" s="9115">
        <f>IF(HLOOKUP("Mins",A1:CV300,57,FALSE)=0,0,HLOOKUP("Gs - Open",A1:CV300,57,FALSE)/HLOOKUP("Mins",A1:CV300,57,FALSE)* 90)</f>
      </c>
      <c r="BP57" s="9116">
        <f>IF(HLOOKUP("Mins",A1:CV300,57,FALSE)=0,0,HLOOKUP("ICT Index",A1:CV300,57,FALSE)/HLOOKUP("Mins",A1:CV300,57,FALSE)* 90)</f>
      </c>
      <c r="BQ57" s="9117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9118">
        <f>0.0825*HLOOKUP("KP/90",A1:CV300,57,FALSE)</f>
      </c>
      <c r="BS57" s="9119">
        <f>6*HLOOKUP("xG/90",A1:CV300,57,FALSE)+3*HLOOKUP("xA/90",A1:CV300,57,FALSE)</f>
      </c>
      <c r="BT57" s="9120">
        <f>HLOOKUP("xPts/90",A1:CV300,57,FALSE)-(6*0.75*(HLOOKUP("PK Gs",A1:CV300,57,FALSE)+HLOOKUP("PK Miss",A1:CV300,57,FALSE))*90/HLOOKUP("Mins",A1:CV300,57,FALSE))</f>
      </c>
      <c r="BU57" s="9121">
        <f>IF(HLOOKUP("Mins",A1:CV300,57,FALSE)=0,0,HLOOKUP("fsXG",A1:CV300,57,FALSE)/HLOOKUP("Mins",A1:CV300,57,FALSE)* 90)</f>
      </c>
      <c r="BV57" s="9122">
        <f>IF(HLOOKUP("Mins",A1:CV300,57,FALSE)=0,0,HLOOKUP("fsXA",A1:CV300,57,FALSE)/HLOOKUP("Mins",A1:CV300,57,FALSE)* 90)</f>
      </c>
      <c r="BW57" s="9123">
        <f>6*HLOOKUP("fsXG/90",A1:CV300,57,FALSE)+3*HLOOKUP("fsXA/90",A1:CV300,57,FALSE)</f>
      </c>
      <c r="BX57" t="n" s="9124">
        <v>0.0</v>
      </c>
      <c r="BY57" t="n" s="9125">
        <v>0.004797740839421749</v>
      </c>
      <c r="BZ57" s="9126">
        <f>6*HLOOKUP("uXG/90",A1:CV300,57,FALSE)+3*HLOOKUP("uXA/90",A1:CV300,57,FALSE)</f>
      </c>
    </row>
    <row r="58">
      <c r="A58" t="s" s="9127">
        <v>214</v>
      </c>
      <c r="B58" t="s" s="9128">
        <v>107</v>
      </c>
      <c r="C58" t="n" s="9129">
        <v>4.400000095367432</v>
      </c>
      <c r="D58" t="n" s="9130">
        <v>533.0</v>
      </c>
      <c r="E58" t="n" s="9131">
        <v>6.0</v>
      </c>
      <c r="F58" t="n" s="9132">
        <v>62.0</v>
      </c>
      <c r="G58" t="n" s="9133">
        <v>0.0</v>
      </c>
      <c r="H58" t="n" s="9134">
        <v>4.0</v>
      </c>
      <c r="I58" t="n" s="9135">
        <v>264.0</v>
      </c>
      <c r="J58" s="9136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9137">
        <v>0.0</v>
      </c>
      <c r="L58" t="n" s="9138">
        <v>6.0</v>
      </c>
      <c r="M58" t="n" s="9139">
        <v>2.0</v>
      </c>
      <c r="N58" t="n" s="9140">
        <v>2.0</v>
      </c>
      <c r="O58" t="n" s="9141">
        <v>1.0</v>
      </c>
      <c r="P58" s="9142">
        <f>IF(HLOOKUP("Shots",A1:CV300,58,FALSE)=0,0,HLOOKUP("SIB",A1:CV300,58,FALSE)/HLOOKUP("Shots",A1:CV300,58,FALSE))</f>
      </c>
      <c r="Q58" t="n" s="9143">
        <v>0.0</v>
      </c>
      <c r="R58" s="9144">
        <f>IF(HLOOKUP("Shots",A1:CV300,58,FALSE)=0,0,HLOOKUP("S6YD",A1:CV300,58,FALSE)/HLOOKUP("Shots",A1:CV300,58,FALSE))</f>
      </c>
      <c r="S58" t="n" s="9145">
        <v>0.0</v>
      </c>
      <c r="T58" s="9146">
        <f>IF(HLOOKUP("Shots",A1:CV300,58,FALSE)=0,0,HLOOKUP("Headers",A1:CV300,58,FALSE)/HLOOKUP("Shots",A1:CV300,58,FALSE))</f>
      </c>
      <c r="U58" t="n" s="9147">
        <v>0.0</v>
      </c>
      <c r="V58" s="9148">
        <f>IF(HLOOKUP("Shots",A1:CV300,58,FALSE)=0,0,HLOOKUP("SOT",A1:CV300,58,FALSE)/HLOOKUP("Shots",A1:CV300,58,FALSE))</f>
      </c>
      <c r="W58" s="9149">
        <f>IF(HLOOKUP("Shots",A1:CV300,58,FALSE)=0,0,HLOOKUP("Gs",A1:CV300,58,FALSE)/HLOOKUP("Shots",A1:CV300,58,FALSE))</f>
      </c>
      <c r="X58" t="n" s="9150">
        <v>0.0</v>
      </c>
      <c r="Y58" t="n" s="9151">
        <v>1.0</v>
      </c>
      <c r="Z58" t="n" s="9152">
        <v>4.0</v>
      </c>
      <c r="AA58" s="9153">
        <f>IF(HLOOKUP("KP",A1:CV300,58,FALSE)=0,0,HLOOKUP("As",A1:CV300,58,FALSE)/HLOOKUP("KP",A1:CV300,58,FALSE))</f>
      </c>
      <c r="AB58" t="n" s="9154">
        <v>16.4</v>
      </c>
      <c r="AC58" t="n" s="9155">
        <v>0.0</v>
      </c>
      <c r="AD58" t="n" s="9156">
        <v>0.0</v>
      </c>
      <c r="AE58" t="n" s="9157">
        <v>0.0</v>
      </c>
      <c r="AF58" t="n" s="9158">
        <v>0.0</v>
      </c>
      <c r="AG58" s="9159">
        <f>IF(HLOOKUP("BC",A1:CV300,58,FALSE)=0,0,HLOOKUP("Gs - BC",A1:CV300,58,FALSE)/HLOOKUP("BC",A1:CV300,58,FALSE))</f>
      </c>
      <c r="AH58" s="9160">
        <f>HLOOKUP("BC",A1:CV300,58,FALSE) - HLOOKUP("BC Miss",A1:CV300,58,FALSE)</f>
      </c>
      <c r="AI58" s="9161">
        <f>IF(HLOOKUP("Gs",A1:CV300,58,FALSE)=0,0,HLOOKUP("Gs - BC",A1:CV300,58,FALSE)/HLOOKUP("Gs",A1:CV300,58,FALSE))</f>
      </c>
      <c r="AJ58" t="n" s="9162">
        <v>0.0</v>
      </c>
      <c r="AK58" t="n" s="9163">
        <v>0.0</v>
      </c>
      <c r="AL58" s="9164">
        <f>HLOOKUP("BC",A1:CV300,58,FALSE) - (HLOOKUP("PK Gs",A1:CV300,58,FALSE) + HLOOKUP("PK Miss",A1:CV300,58,FALSE))</f>
      </c>
      <c r="AM58" s="9165">
        <f>HLOOKUP("BC Miss",A1:CV300,58,FALSE) - HLOOKUP("PK Miss",A1:CV300,58,FALSE)</f>
      </c>
      <c r="AN58" s="9166">
        <f>IF(HLOOKUP("BC - Open",A1:CV300,58,FALSE)=0,0,HLOOKUP("BC - Open Miss",A1:CV300,58,FALSE)/HLOOKUP("BC - Open",A1:CV300,58,FALSE))</f>
      </c>
      <c r="AO58" t="n" s="9167">
        <v>0.0</v>
      </c>
      <c r="AP58" s="9168">
        <f>IF(HLOOKUP("Gs",A1:CV300,58,FALSE)=0,0,HLOOKUP("GIB",A1:CV300,58,FALSE)/HLOOKUP("Gs",A1:CV300,58,FALSE))</f>
      </c>
      <c r="AQ58" t="n" s="9169">
        <v>0.0</v>
      </c>
      <c r="AR58" s="9170">
        <f>IF(HLOOKUP("Gs",A1:CV300,58,FALSE)=0,0,HLOOKUP("Gs - Open",A1:CV300,58,FALSE)/HLOOKUP("Gs",A1:CV300,58,FALSE))</f>
      </c>
      <c r="AS58" t="n" s="9171">
        <v>0.07</v>
      </c>
      <c r="AT58" t="n" s="9172">
        <v>0.2</v>
      </c>
      <c r="AU58" s="9173">
        <f>IF(HLOOKUP("Mins",A1:CV300,58,FALSE)=0,0,HLOOKUP("Pts",A1:CV300,58,FALSE)/HLOOKUP("Mins",A1:CV300,58,FALSE)* 90)</f>
      </c>
      <c r="AV58" s="9174">
        <f>IF(HLOOKUP("Apps",A1:CV300,58,FALSE)=0,0,HLOOKUP("Pts",A1:CV300,58,FALSE)/HLOOKUP("Apps",A1:CV300,58,FALSE)* 1)</f>
      </c>
      <c r="AW58" s="9175">
        <f>IF(HLOOKUP("Mins",A1:CV300,58,FALSE)=0,0,HLOOKUP("Gs",A1:CV300,58,FALSE)/HLOOKUP("Mins",A1:CV300,58,FALSE)* 90)</f>
      </c>
      <c r="AX58" s="9176">
        <f>IF(HLOOKUP("Mins",A1:CV300,58,FALSE)=0,0,HLOOKUP("Bonus",A1:CV300,58,FALSE)/HLOOKUP("Mins",A1:CV300,58,FALSE)* 90)</f>
      </c>
      <c r="AY58" s="9177">
        <f>IF(HLOOKUP("Mins",A1:CV300,58,FALSE)=0,0,HLOOKUP("BPS",A1:CV300,58,FALSE)/HLOOKUP("Mins",A1:CV300,58,FALSE)* 90)</f>
      </c>
      <c r="AZ58" s="9178">
        <f>IF(HLOOKUP("Mins",A1:CV300,58,FALSE)=0,0,HLOOKUP("Base BPS",A1:CV300,58,FALSE)/HLOOKUP("Mins",A1:CV300,58,FALSE)* 90)</f>
      </c>
      <c r="BA58" s="9179">
        <f>IF(HLOOKUP("Mins",A1:CV300,58,FALSE)=0,0,HLOOKUP("PenTchs",A1:CV300,58,FALSE)/HLOOKUP("Mins",A1:CV300,58,FALSE)* 90)</f>
      </c>
      <c r="BB58" s="9180">
        <f>IF(HLOOKUP("Mins",A1:CV300,58,FALSE)=0,0,HLOOKUP("Shots",A1:CV300,58,FALSE)/HLOOKUP("Mins",A1:CV300,58,FALSE)* 90)</f>
      </c>
      <c r="BC58" s="9181">
        <f>IF(HLOOKUP("Mins",A1:CV300,58,FALSE)=0,0,HLOOKUP("SIB",A1:CV300,58,FALSE)/HLOOKUP("Mins",A1:CV300,58,FALSE)* 90)</f>
      </c>
      <c r="BD58" s="9182">
        <f>IF(HLOOKUP("Mins",A1:CV300,58,FALSE)=0,0,HLOOKUP("S6YD",A1:CV300,58,FALSE)/HLOOKUP("Mins",A1:CV300,58,FALSE)* 90)</f>
      </c>
      <c r="BE58" s="9183">
        <f>IF(HLOOKUP("Mins",A1:CV300,58,FALSE)=0,0,HLOOKUP("Headers",A1:CV300,58,FALSE)/HLOOKUP("Mins",A1:CV300,58,FALSE)* 90)</f>
      </c>
      <c r="BF58" s="9184">
        <f>IF(HLOOKUP("Mins",A1:CV300,58,FALSE)=0,0,HLOOKUP("SOT",A1:CV300,58,FALSE)/HLOOKUP("Mins",A1:CV300,58,FALSE)* 90)</f>
      </c>
      <c r="BG58" s="9185">
        <f>IF(HLOOKUP("Mins",A1:CV300,58,FALSE)=0,0,HLOOKUP("As",A1:CV300,58,FALSE)/HLOOKUP("Mins",A1:CV300,58,FALSE)* 90)</f>
      </c>
      <c r="BH58" s="9186">
        <f>IF(HLOOKUP("Mins",A1:CV300,58,FALSE)=0,0,HLOOKUP("FPL As",A1:CV300,58,FALSE)/HLOOKUP("Mins",A1:CV300,58,FALSE)* 90)</f>
      </c>
      <c r="BI58" s="9187">
        <f>IF(HLOOKUP("Mins",A1:CV300,58,FALSE)=0,0,HLOOKUP("BC Created",A1:CV300,58,FALSE)/HLOOKUP("Mins",A1:CV300,58,FALSE)* 90)</f>
      </c>
      <c r="BJ58" s="9188">
        <f>IF(HLOOKUP("Mins",A1:CV300,58,FALSE)=0,0,HLOOKUP("KP",A1:CV300,58,FALSE)/HLOOKUP("Mins",A1:CV300,58,FALSE)* 90)</f>
      </c>
      <c r="BK58" s="9189">
        <f>IF(HLOOKUP("Mins",A1:CV300,58,FALSE)=0,0,HLOOKUP("BC",A1:CV300,58,FALSE)/HLOOKUP("Mins",A1:CV300,58,FALSE)* 90)</f>
      </c>
      <c r="BL58" s="9190">
        <f>IF(HLOOKUP("Mins",A1:CV300,58,FALSE)=0,0,HLOOKUP("BC Miss",A1:CV300,58,FALSE)/HLOOKUP("Mins",A1:CV300,58,FALSE)* 90)</f>
      </c>
      <c r="BM58" s="9191">
        <f>IF(HLOOKUP("Mins",A1:CV300,58,FALSE)=0,0,HLOOKUP("Gs - BC",A1:CV300,58,FALSE)/HLOOKUP("Mins",A1:CV300,58,FALSE)* 90)</f>
      </c>
      <c r="BN58" s="9192">
        <f>IF(HLOOKUP("Mins",A1:CV300,58,FALSE)=0,0,HLOOKUP("GIB",A1:CV300,58,FALSE)/HLOOKUP("Mins",A1:CV300,58,FALSE)* 90)</f>
      </c>
      <c r="BO58" s="9193">
        <f>IF(HLOOKUP("Mins",A1:CV300,58,FALSE)=0,0,HLOOKUP("Gs - Open",A1:CV300,58,FALSE)/HLOOKUP("Mins",A1:CV300,58,FALSE)* 90)</f>
      </c>
      <c r="BP58" s="9194">
        <f>IF(HLOOKUP("Mins",A1:CV300,58,FALSE)=0,0,HLOOKUP("ICT Index",A1:CV300,58,FALSE)/HLOOKUP("Mins",A1:CV300,58,FALSE)* 90)</f>
      </c>
      <c r="BQ58" s="9195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9196">
        <f>0.0825*HLOOKUP("KP/90",A1:CV300,58,FALSE)</f>
      </c>
      <c r="BS58" s="9197">
        <f>6*HLOOKUP("xG/90",A1:CV300,58,FALSE)+3*HLOOKUP("xA/90",A1:CV300,58,FALSE)</f>
      </c>
      <c r="BT58" s="9198">
        <f>HLOOKUP("xPts/90",A1:CV300,58,FALSE)-(6*0.75*(HLOOKUP("PK Gs",A1:CV300,58,FALSE)+HLOOKUP("PK Miss",A1:CV300,58,FALSE))*90/HLOOKUP("Mins",A1:CV300,58,FALSE))</f>
      </c>
      <c r="BU58" s="9199">
        <f>IF(HLOOKUP("Mins",A1:CV300,58,FALSE)=0,0,HLOOKUP("fsXG",A1:CV300,58,FALSE)/HLOOKUP("Mins",A1:CV300,58,FALSE)* 90)</f>
      </c>
      <c r="BV58" s="9200">
        <f>IF(HLOOKUP("Mins",A1:CV300,58,FALSE)=0,0,HLOOKUP("fsXA",A1:CV300,58,FALSE)/HLOOKUP("Mins",A1:CV300,58,FALSE)* 90)</f>
      </c>
      <c r="BW58" s="9201">
        <f>6*HLOOKUP("fsXG/90",A1:CV300,58,FALSE)+3*HLOOKUP("fsXA/90",A1:CV300,58,FALSE)</f>
      </c>
      <c r="BX58" t="n" s="9202">
        <v>0.010276248678565025</v>
      </c>
      <c r="BY58" t="n" s="9203">
        <v>0.026950499042868614</v>
      </c>
      <c r="BZ58" s="9204">
        <f>6*HLOOKUP("uXG/90",A1:CV300,58,FALSE)+3*HLOOKUP("uXA/90",A1:CV300,58,FALSE)</f>
      </c>
    </row>
    <row r="59">
      <c r="A59" t="s" s="9205">
        <v>215</v>
      </c>
      <c r="B59" t="s" s="9206">
        <v>147</v>
      </c>
      <c r="C59" t="n" s="9207">
        <v>4.900000095367432</v>
      </c>
      <c r="D59" t="n" s="9208">
        <v>90.0</v>
      </c>
      <c r="E59" t="n" s="9209">
        <v>1.0</v>
      </c>
      <c r="F59" t="n" s="9210">
        <v>17.0</v>
      </c>
      <c r="G59" t="n" s="9211">
        <v>0.0</v>
      </c>
      <c r="H59" t="n" s="9212">
        <v>0.0</v>
      </c>
      <c r="I59" t="n" s="9213">
        <v>144.0</v>
      </c>
      <c r="J59" s="9214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9215">
        <v>0.0</v>
      </c>
      <c r="L59" t="n" s="9216">
        <v>2.0</v>
      </c>
      <c r="M59" t="n" s="9217">
        <v>1.0</v>
      </c>
      <c r="N59" t="n" s="9218">
        <v>1.0</v>
      </c>
      <c r="O59" t="n" s="9219">
        <v>1.0</v>
      </c>
      <c r="P59" s="9220">
        <f>IF(HLOOKUP("Shots",A1:CV300,59,FALSE)=0,0,HLOOKUP("SIB",A1:CV300,59,FALSE)/HLOOKUP("Shots",A1:CV300,59,FALSE))</f>
      </c>
      <c r="Q59" t="n" s="9221">
        <v>0.0</v>
      </c>
      <c r="R59" s="9222">
        <f>IF(HLOOKUP("Shots",A1:CV300,59,FALSE)=0,0,HLOOKUP("S6YD",A1:CV300,59,FALSE)/HLOOKUP("Shots",A1:CV300,59,FALSE))</f>
      </c>
      <c r="S59" t="n" s="9223">
        <v>1.0</v>
      </c>
      <c r="T59" s="9224">
        <f>IF(HLOOKUP("Shots",A1:CV300,59,FALSE)=0,0,HLOOKUP("Headers",A1:CV300,59,FALSE)/HLOOKUP("Shots",A1:CV300,59,FALSE))</f>
      </c>
      <c r="U59" t="n" s="9225">
        <v>0.0</v>
      </c>
      <c r="V59" s="9226">
        <f>IF(HLOOKUP("Shots",A1:CV300,59,FALSE)=0,0,HLOOKUP("SOT",A1:CV300,59,FALSE)/HLOOKUP("Shots",A1:CV300,59,FALSE))</f>
      </c>
      <c r="W59" s="9227">
        <f>IF(HLOOKUP("Shots",A1:CV300,59,FALSE)=0,0,HLOOKUP("Gs",A1:CV300,59,FALSE)/HLOOKUP("Shots",A1:CV300,59,FALSE))</f>
      </c>
      <c r="X59" t="n" s="9228">
        <v>0.0</v>
      </c>
      <c r="Y59" t="n" s="9229">
        <v>0.0</v>
      </c>
      <c r="Z59" t="n" s="9230">
        <v>0.0</v>
      </c>
      <c r="AA59" s="9231">
        <f>IF(HLOOKUP("KP",A1:CV300,59,FALSE)=0,0,HLOOKUP("As",A1:CV300,59,FALSE)/HLOOKUP("KP",A1:CV300,59,FALSE))</f>
      </c>
      <c r="AB59" t="n" s="9232">
        <v>1.8</v>
      </c>
      <c r="AC59" t="n" s="9233">
        <v>0.0</v>
      </c>
      <c r="AD59" t="n" s="9234">
        <v>0.0</v>
      </c>
      <c r="AE59" t="n" s="9235">
        <v>0.0</v>
      </c>
      <c r="AF59" t="n" s="9236">
        <v>0.0</v>
      </c>
      <c r="AG59" s="9237">
        <f>IF(HLOOKUP("BC",A1:CV300,59,FALSE)=0,0,HLOOKUP("Gs - BC",A1:CV300,59,FALSE)/HLOOKUP("BC",A1:CV300,59,FALSE))</f>
      </c>
      <c r="AH59" s="9238">
        <f>HLOOKUP("BC",A1:CV300,59,FALSE) - HLOOKUP("BC Miss",A1:CV300,59,FALSE)</f>
      </c>
      <c r="AI59" s="9239">
        <f>IF(HLOOKUP("Gs",A1:CV300,59,FALSE)=0,0,HLOOKUP("Gs - BC",A1:CV300,59,FALSE)/HLOOKUP("Gs",A1:CV300,59,FALSE))</f>
      </c>
      <c r="AJ59" t="n" s="9240">
        <v>0.0</v>
      </c>
      <c r="AK59" t="n" s="9241">
        <v>0.0</v>
      </c>
      <c r="AL59" s="9242">
        <f>HLOOKUP("BC",A1:CV300,59,FALSE) - (HLOOKUP("PK Gs",A1:CV300,59,FALSE) + HLOOKUP("PK Miss",A1:CV300,59,FALSE))</f>
      </c>
      <c r="AM59" s="9243">
        <f>HLOOKUP("BC Miss",A1:CV300,59,FALSE) - HLOOKUP("PK Miss",A1:CV300,59,FALSE)</f>
      </c>
      <c r="AN59" s="9244">
        <f>IF(HLOOKUP("BC - Open",A1:CV300,59,FALSE)=0,0,HLOOKUP("BC - Open Miss",A1:CV300,59,FALSE)/HLOOKUP("BC - Open",A1:CV300,59,FALSE))</f>
      </c>
      <c r="AO59" t="n" s="9245">
        <v>0.0</v>
      </c>
      <c r="AP59" s="9246">
        <f>IF(HLOOKUP("Gs",A1:CV300,59,FALSE)=0,0,HLOOKUP("GIB",A1:CV300,59,FALSE)/HLOOKUP("Gs",A1:CV300,59,FALSE))</f>
      </c>
      <c r="AQ59" t="n" s="9247">
        <v>0.0</v>
      </c>
      <c r="AR59" s="9248">
        <f>IF(HLOOKUP("Gs",A1:CV300,59,FALSE)=0,0,HLOOKUP("Gs - Open",A1:CV300,59,FALSE)/HLOOKUP("Gs",A1:CV300,59,FALSE))</f>
      </c>
      <c r="AS59" t="n" s="9249">
        <v>0.04</v>
      </c>
      <c r="AT59" t="n" s="9250">
        <v>0.0</v>
      </c>
      <c r="AU59" s="9251">
        <f>IF(HLOOKUP("Mins",A1:CV300,59,FALSE)=0,0,HLOOKUP("Pts",A1:CV300,59,FALSE)/HLOOKUP("Mins",A1:CV300,59,FALSE)* 90)</f>
      </c>
      <c r="AV59" s="9252">
        <f>IF(HLOOKUP("Apps",A1:CV300,59,FALSE)=0,0,HLOOKUP("Pts",A1:CV300,59,FALSE)/HLOOKUP("Apps",A1:CV300,59,FALSE)* 1)</f>
      </c>
      <c r="AW59" s="9253">
        <f>IF(HLOOKUP("Mins",A1:CV300,59,FALSE)=0,0,HLOOKUP("Gs",A1:CV300,59,FALSE)/HLOOKUP("Mins",A1:CV300,59,FALSE)* 90)</f>
      </c>
      <c r="AX59" s="9254">
        <f>IF(HLOOKUP("Mins",A1:CV300,59,FALSE)=0,0,HLOOKUP("Bonus",A1:CV300,59,FALSE)/HLOOKUP("Mins",A1:CV300,59,FALSE)* 90)</f>
      </c>
      <c r="AY59" s="9255">
        <f>IF(HLOOKUP("Mins",A1:CV300,59,FALSE)=0,0,HLOOKUP("BPS",A1:CV300,59,FALSE)/HLOOKUP("Mins",A1:CV300,59,FALSE)* 90)</f>
      </c>
      <c r="AZ59" s="9256">
        <f>IF(HLOOKUP("Mins",A1:CV300,59,FALSE)=0,0,HLOOKUP("Base BPS",A1:CV300,59,FALSE)/HLOOKUP("Mins",A1:CV300,59,FALSE)* 90)</f>
      </c>
      <c r="BA59" s="9257">
        <f>IF(HLOOKUP("Mins",A1:CV300,59,FALSE)=0,0,HLOOKUP("PenTchs",A1:CV300,59,FALSE)/HLOOKUP("Mins",A1:CV300,59,FALSE)* 90)</f>
      </c>
      <c r="BB59" s="9258">
        <f>IF(HLOOKUP("Mins",A1:CV300,59,FALSE)=0,0,HLOOKUP("Shots",A1:CV300,59,FALSE)/HLOOKUP("Mins",A1:CV300,59,FALSE)* 90)</f>
      </c>
      <c r="BC59" s="9259">
        <f>IF(HLOOKUP("Mins",A1:CV300,59,FALSE)=0,0,HLOOKUP("SIB",A1:CV300,59,FALSE)/HLOOKUP("Mins",A1:CV300,59,FALSE)* 90)</f>
      </c>
      <c r="BD59" s="9260">
        <f>IF(HLOOKUP("Mins",A1:CV300,59,FALSE)=0,0,HLOOKUP("S6YD",A1:CV300,59,FALSE)/HLOOKUP("Mins",A1:CV300,59,FALSE)* 90)</f>
      </c>
      <c r="BE59" s="9261">
        <f>IF(HLOOKUP("Mins",A1:CV300,59,FALSE)=0,0,HLOOKUP("Headers",A1:CV300,59,FALSE)/HLOOKUP("Mins",A1:CV300,59,FALSE)* 90)</f>
      </c>
      <c r="BF59" s="9262">
        <f>IF(HLOOKUP("Mins",A1:CV300,59,FALSE)=0,0,HLOOKUP("SOT",A1:CV300,59,FALSE)/HLOOKUP("Mins",A1:CV300,59,FALSE)* 90)</f>
      </c>
      <c r="BG59" s="9263">
        <f>IF(HLOOKUP("Mins",A1:CV300,59,FALSE)=0,0,HLOOKUP("As",A1:CV300,59,FALSE)/HLOOKUP("Mins",A1:CV300,59,FALSE)* 90)</f>
      </c>
      <c r="BH59" s="9264">
        <f>IF(HLOOKUP("Mins",A1:CV300,59,FALSE)=0,0,HLOOKUP("FPL As",A1:CV300,59,FALSE)/HLOOKUP("Mins",A1:CV300,59,FALSE)* 90)</f>
      </c>
      <c r="BI59" s="9265">
        <f>IF(HLOOKUP("Mins",A1:CV300,59,FALSE)=0,0,HLOOKUP("BC Created",A1:CV300,59,FALSE)/HLOOKUP("Mins",A1:CV300,59,FALSE)* 90)</f>
      </c>
      <c r="BJ59" s="9266">
        <f>IF(HLOOKUP("Mins",A1:CV300,59,FALSE)=0,0,HLOOKUP("KP",A1:CV300,59,FALSE)/HLOOKUP("Mins",A1:CV300,59,FALSE)* 90)</f>
      </c>
      <c r="BK59" s="9267">
        <f>IF(HLOOKUP("Mins",A1:CV300,59,FALSE)=0,0,HLOOKUP("BC",A1:CV300,59,FALSE)/HLOOKUP("Mins",A1:CV300,59,FALSE)* 90)</f>
      </c>
      <c r="BL59" s="9268">
        <f>IF(HLOOKUP("Mins",A1:CV300,59,FALSE)=0,0,HLOOKUP("BC Miss",A1:CV300,59,FALSE)/HLOOKUP("Mins",A1:CV300,59,FALSE)* 90)</f>
      </c>
      <c r="BM59" s="9269">
        <f>IF(HLOOKUP("Mins",A1:CV300,59,FALSE)=0,0,HLOOKUP("Gs - BC",A1:CV300,59,FALSE)/HLOOKUP("Mins",A1:CV300,59,FALSE)* 90)</f>
      </c>
      <c r="BN59" s="9270">
        <f>IF(HLOOKUP("Mins",A1:CV300,59,FALSE)=0,0,HLOOKUP("GIB",A1:CV300,59,FALSE)/HLOOKUP("Mins",A1:CV300,59,FALSE)* 90)</f>
      </c>
      <c r="BO59" s="9271">
        <f>IF(HLOOKUP("Mins",A1:CV300,59,FALSE)=0,0,HLOOKUP("Gs - Open",A1:CV300,59,FALSE)/HLOOKUP("Mins",A1:CV300,59,FALSE)* 90)</f>
      </c>
      <c r="BP59" s="9272">
        <f>IF(HLOOKUP("Mins",A1:CV300,59,FALSE)=0,0,HLOOKUP("ICT Index",A1:CV300,59,FALSE)/HLOOKUP("Mins",A1:CV300,59,FALSE)* 90)</f>
      </c>
      <c r="BQ59" s="9273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9274">
        <f>0.0825*HLOOKUP("KP/90",A1:CV300,59,FALSE)</f>
      </c>
      <c r="BS59" s="9275">
        <f>6*HLOOKUP("xG/90",A1:CV300,59,FALSE)+3*HLOOKUP("xA/90",A1:CV300,59,FALSE)</f>
      </c>
      <c r="BT59" s="9276">
        <f>HLOOKUP("xPts/90",A1:CV300,59,FALSE)-(6*0.75*(HLOOKUP("PK Gs",A1:CV300,59,FALSE)+HLOOKUP("PK Miss",A1:CV300,59,FALSE))*90/HLOOKUP("Mins",A1:CV300,59,FALSE))</f>
      </c>
      <c r="BU59" s="9277">
        <f>IF(HLOOKUP("Mins",A1:CV300,59,FALSE)=0,0,HLOOKUP("fsXG",A1:CV300,59,FALSE)/HLOOKUP("Mins",A1:CV300,59,FALSE)* 90)</f>
      </c>
      <c r="BV59" s="9278">
        <f>IF(HLOOKUP("Mins",A1:CV300,59,FALSE)=0,0,HLOOKUP("fsXA",A1:CV300,59,FALSE)/HLOOKUP("Mins",A1:CV300,59,FALSE)* 90)</f>
      </c>
      <c r="BW59" s="9279">
        <f>6*HLOOKUP("fsXG/90",A1:CV300,59,FALSE)+3*HLOOKUP("fsXA/90",A1:CV300,59,FALSE)</f>
      </c>
      <c r="BX59" t="n" s="9280">
        <v>0.014116195961833</v>
      </c>
      <c r="BY59" t="n" s="9281">
        <v>0.0</v>
      </c>
      <c r="BZ59" s="9282">
        <f>6*HLOOKUP("uXG/90",A1:CV300,59,FALSE)+3*HLOOKUP("uXA/90",A1:CV300,59,FALSE)</f>
      </c>
    </row>
    <row r="60">
      <c r="A60" t="s" s="9283">
        <v>216</v>
      </c>
      <c r="B60" t="s" s="9284">
        <v>92</v>
      </c>
      <c r="C60" t="n" s="9285">
        <v>4.400000095367432</v>
      </c>
      <c r="D60" t="n" s="9286">
        <v>315.0</v>
      </c>
      <c r="E60" t="n" s="9287">
        <v>4.0</v>
      </c>
      <c r="F60" t="n" s="9288">
        <v>51.0</v>
      </c>
      <c r="G60" t="n" s="9289">
        <v>0.0</v>
      </c>
      <c r="H60" t="n" s="9290">
        <v>5.0</v>
      </c>
      <c r="I60" t="n" s="9291">
        <v>275.0</v>
      </c>
      <c r="J60" s="9292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9293">
        <v>0.0</v>
      </c>
      <c r="L60" t="n" s="9294">
        <v>5.0</v>
      </c>
      <c r="M60" t="n" s="9295">
        <v>2.0</v>
      </c>
      <c r="N60" t="n" s="9296">
        <v>1.0</v>
      </c>
      <c r="O60" t="n" s="9297">
        <v>1.0</v>
      </c>
      <c r="P60" s="9298">
        <f>IF(HLOOKUP("Shots",A1:CV300,60,FALSE)=0,0,HLOOKUP("SIB",A1:CV300,60,FALSE)/HLOOKUP("Shots",A1:CV300,60,FALSE))</f>
      </c>
      <c r="Q60" t="n" s="9299">
        <v>0.0</v>
      </c>
      <c r="R60" s="9300">
        <f>IF(HLOOKUP("Shots",A1:CV300,60,FALSE)=0,0,HLOOKUP("S6YD",A1:CV300,60,FALSE)/HLOOKUP("Shots",A1:CV300,60,FALSE))</f>
      </c>
      <c r="S60" t="n" s="9301">
        <v>0.0</v>
      </c>
      <c r="T60" s="9302">
        <f>IF(HLOOKUP("Shots",A1:CV300,60,FALSE)=0,0,HLOOKUP("Headers",A1:CV300,60,FALSE)/HLOOKUP("Shots",A1:CV300,60,FALSE))</f>
      </c>
      <c r="U60" t="n" s="9303">
        <v>1.0</v>
      </c>
      <c r="V60" s="9304">
        <f>IF(HLOOKUP("Shots",A1:CV300,60,FALSE)=0,0,HLOOKUP("SOT",A1:CV300,60,FALSE)/HLOOKUP("Shots",A1:CV300,60,FALSE))</f>
      </c>
      <c r="W60" s="9305">
        <f>IF(HLOOKUP("Shots",A1:CV300,60,FALSE)=0,0,HLOOKUP("Gs",A1:CV300,60,FALSE)/HLOOKUP("Shots",A1:CV300,60,FALSE))</f>
      </c>
      <c r="X60" t="n" s="9306">
        <v>0.0</v>
      </c>
      <c r="Y60" t="n" s="9307">
        <v>2.0</v>
      </c>
      <c r="Z60" t="n" s="9308">
        <v>3.0</v>
      </c>
      <c r="AA60" s="9309">
        <f>IF(HLOOKUP("KP",A1:CV300,60,FALSE)=0,0,HLOOKUP("As",A1:CV300,60,FALSE)/HLOOKUP("KP",A1:CV300,60,FALSE))</f>
      </c>
      <c r="AB60" t="n" s="9310">
        <v>13.0</v>
      </c>
      <c r="AC60" t="n" s="9311">
        <v>0.0</v>
      </c>
      <c r="AD60" t="n" s="9312">
        <v>0.0</v>
      </c>
      <c r="AE60" t="n" s="9313">
        <v>0.0</v>
      </c>
      <c r="AF60" t="n" s="9314">
        <v>0.0</v>
      </c>
      <c r="AG60" s="9315">
        <f>IF(HLOOKUP("BC",A1:CV300,60,FALSE)=0,0,HLOOKUP("Gs - BC",A1:CV300,60,FALSE)/HLOOKUP("BC",A1:CV300,60,FALSE))</f>
      </c>
      <c r="AH60" s="9316">
        <f>HLOOKUP("BC",A1:CV300,60,FALSE) - HLOOKUP("BC Miss",A1:CV300,60,FALSE)</f>
      </c>
      <c r="AI60" s="9317">
        <f>IF(HLOOKUP("Gs",A1:CV300,60,FALSE)=0,0,HLOOKUP("Gs - BC",A1:CV300,60,FALSE)/HLOOKUP("Gs",A1:CV300,60,FALSE))</f>
      </c>
      <c r="AJ60" t="n" s="9318">
        <v>0.0</v>
      </c>
      <c r="AK60" t="n" s="9319">
        <v>0.0</v>
      </c>
      <c r="AL60" s="9320">
        <f>HLOOKUP("BC",A1:CV300,60,FALSE) - (HLOOKUP("PK Gs",A1:CV300,60,FALSE) + HLOOKUP("PK Miss",A1:CV300,60,FALSE))</f>
      </c>
      <c r="AM60" s="9321">
        <f>HLOOKUP("BC Miss",A1:CV300,60,FALSE) - HLOOKUP("PK Miss",A1:CV300,60,FALSE)</f>
      </c>
      <c r="AN60" s="9322">
        <f>IF(HLOOKUP("BC - Open",A1:CV300,60,FALSE)=0,0,HLOOKUP("BC - Open Miss",A1:CV300,60,FALSE)/HLOOKUP("BC - Open",A1:CV300,60,FALSE))</f>
      </c>
      <c r="AO60" t="n" s="9323">
        <v>0.0</v>
      </c>
      <c r="AP60" s="9324">
        <f>IF(HLOOKUP("Gs",A1:CV300,60,FALSE)=0,0,HLOOKUP("GIB",A1:CV300,60,FALSE)/HLOOKUP("Gs",A1:CV300,60,FALSE))</f>
      </c>
      <c r="AQ60" t="n" s="9325">
        <v>0.0</v>
      </c>
      <c r="AR60" s="9326">
        <f>IF(HLOOKUP("Gs",A1:CV300,60,FALSE)=0,0,HLOOKUP("Gs - Open",A1:CV300,60,FALSE)/HLOOKUP("Gs",A1:CV300,60,FALSE))</f>
      </c>
      <c r="AS60" t="n" s="9327">
        <v>0.05</v>
      </c>
      <c r="AT60" t="n" s="9328">
        <v>0.16</v>
      </c>
      <c r="AU60" s="9329">
        <f>IF(HLOOKUP("Mins",A1:CV300,60,FALSE)=0,0,HLOOKUP("Pts",A1:CV300,60,FALSE)/HLOOKUP("Mins",A1:CV300,60,FALSE)* 90)</f>
      </c>
      <c r="AV60" s="9330">
        <f>IF(HLOOKUP("Apps",A1:CV300,60,FALSE)=0,0,HLOOKUP("Pts",A1:CV300,60,FALSE)/HLOOKUP("Apps",A1:CV300,60,FALSE)* 1)</f>
      </c>
      <c r="AW60" s="9331">
        <f>IF(HLOOKUP("Mins",A1:CV300,60,FALSE)=0,0,HLOOKUP("Gs",A1:CV300,60,FALSE)/HLOOKUP("Mins",A1:CV300,60,FALSE)* 90)</f>
      </c>
      <c r="AX60" s="9332">
        <f>IF(HLOOKUP("Mins",A1:CV300,60,FALSE)=0,0,HLOOKUP("Bonus",A1:CV300,60,FALSE)/HLOOKUP("Mins",A1:CV300,60,FALSE)* 90)</f>
      </c>
      <c r="AY60" s="9333">
        <f>IF(HLOOKUP("Mins",A1:CV300,60,FALSE)=0,0,HLOOKUP("BPS",A1:CV300,60,FALSE)/HLOOKUP("Mins",A1:CV300,60,FALSE)* 90)</f>
      </c>
      <c r="AZ60" s="9334">
        <f>IF(HLOOKUP("Mins",A1:CV300,60,FALSE)=0,0,HLOOKUP("Base BPS",A1:CV300,60,FALSE)/HLOOKUP("Mins",A1:CV300,60,FALSE)* 90)</f>
      </c>
      <c r="BA60" s="9335">
        <f>IF(HLOOKUP("Mins",A1:CV300,60,FALSE)=0,0,HLOOKUP("PenTchs",A1:CV300,60,FALSE)/HLOOKUP("Mins",A1:CV300,60,FALSE)* 90)</f>
      </c>
      <c r="BB60" s="9336">
        <f>IF(HLOOKUP("Mins",A1:CV300,60,FALSE)=0,0,HLOOKUP("Shots",A1:CV300,60,FALSE)/HLOOKUP("Mins",A1:CV300,60,FALSE)* 90)</f>
      </c>
      <c r="BC60" s="9337">
        <f>IF(HLOOKUP("Mins",A1:CV300,60,FALSE)=0,0,HLOOKUP("SIB",A1:CV300,60,FALSE)/HLOOKUP("Mins",A1:CV300,60,FALSE)* 90)</f>
      </c>
      <c r="BD60" s="9338">
        <f>IF(HLOOKUP("Mins",A1:CV300,60,FALSE)=0,0,HLOOKUP("S6YD",A1:CV300,60,FALSE)/HLOOKUP("Mins",A1:CV300,60,FALSE)* 90)</f>
      </c>
      <c r="BE60" s="9339">
        <f>IF(HLOOKUP("Mins",A1:CV300,60,FALSE)=0,0,HLOOKUP("Headers",A1:CV300,60,FALSE)/HLOOKUP("Mins",A1:CV300,60,FALSE)* 90)</f>
      </c>
      <c r="BF60" s="9340">
        <f>IF(HLOOKUP("Mins",A1:CV300,60,FALSE)=0,0,HLOOKUP("SOT",A1:CV300,60,FALSE)/HLOOKUP("Mins",A1:CV300,60,FALSE)* 90)</f>
      </c>
      <c r="BG60" s="9341">
        <f>IF(HLOOKUP("Mins",A1:CV300,60,FALSE)=0,0,HLOOKUP("As",A1:CV300,60,FALSE)/HLOOKUP("Mins",A1:CV300,60,FALSE)* 90)</f>
      </c>
      <c r="BH60" s="9342">
        <f>IF(HLOOKUP("Mins",A1:CV300,60,FALSE)=0,0,HLOOKUP("FPL As",A1:CV300,60,FALSE)/HLOOKUP("Mins",A1:CV300,60,FALSE)* 90)</f>
      </c>
      <c r="BI60" s="9343">
        <f>IF(HLOOKUP("Mins",A1:CV300,60,FALSE)=0,0,HLOOKUP("BC Created",A1:CV300,60,FALSE)/HLOOKUP("Mins",A1:CV300,60,FALSE)* 90)</f>
      </c>
      <c r="BJ60" s="9344">
        <f>IF(HLOOKUP("Mins",A1:CV300,60,FALSE)=0,0,HLOOKUP("KP",A1:CV300,60,FALSE)/HLOOKUP("Mins",A1:CV300,60,FALSE)* 90)</f>
      </c>
      <c r="BK60" s="9345">
        <f>IF(HLOOKUP("Mins",A1:CV300,60,FALSE)=0,0,HLOOKUP("BC",A1:CV300,60,FALSE)/HLOOKUP("Mins",A1:CV300,60,FALSE)* 90)</f>
      </c>
      <c r="BL60" s="9346">
        <f>IF(HLOOKUP("Mins",A1:CV300,60,FALSE)=0,0,HLOOKUP("BC Miss",A1:CV300,60,FALSE)/HLOOKUP("Mins",A1:CV300,60,FALSE)* 90)</f>
      </c>
      <c r="BM60" s="9347">
        <f>IF(HLOOKUP("Mins",A1:CV300,60,FALSE)=0,0,HLOOKUP("Gs - BC",A1:CV300,60,FALSE)/HLOOKUP("Mins",A1:CV300,60,FALSE)* 90)</f>
      </c>
      <c r="BN60" s="9348">
        <f>IF(HLOOKUP("Mins",A1:CV300,60,FALSE)=0,0,HLOOKUP("GIB",A1:CV300,60,FALSE)/HLOOKUP("Mins",A1:CV300,60,FALSE)* 90)</f>
      </c>
      <c r="BO60" s="9349">
        <f>IF(HLOOKUP("Mins",A1:CV300,60,FALSE)=0,0,HLOOKUP("Gs - Open",A1:CV300,60,FALSE)/HLOOKUP("Mins",A1:CV300,60,FALSE)* 90)</f>
      </c>
      <c r="BP60" s="9350">
        <f>IF(HLOOKUP("Mins",A1:CV300,60,FALSE)=0,0,HLOOKUP("ICT Index",A1:CV300,60,FALSE)/HLOOKUP("Mins",A1:CV300,60,FALSE)* 90)</f>
      </c>
      <c r="BQ60" s="9351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9352">
        <f>0.0825*HLOOKUP("KP/90",A1:CV300,60,FALSE)</f>
      </c>
      <c r="BS60" s="9353">
        <f>6*HLOOKUP("xG/90",A1:CV300,60,FALSE)+3*HLOOKUP("xA/90",A1:CV300,60,FALSE)</f>
      </c>
      <c r="BT60" s="9354">
        <f>HLOOKUP("xPts/90",A1:CV300,60,FALSE)-(6*0.75*(HLOOKUP("PK Gs",A1:CV300,60,FALSE)+HLOOKUP("PK Miss",A1:CV300,60,FALSE))*90/HLOOKUP("Mins",A1:CV300,60,FALSE))</f>
      </c>
      <c r="BU60" s="9355">
        <f>IF(HLOOKUP("Mins",A1:CV300,60,FALSE)=0,0,HLOOKUP("fsXG",A1:CV300,60,FALSE)/HLOOKUP("Mins",A1:CV300,60,FALSE)* 90)</f>
      </c>
      <c r="BV60" s="9356">
        <f>IF(HLOOKUP("Mins",A1:CV300,60,FALSE)=0,0,HLOOKUP("fsXA",A1:CV300,60,FALSE)/HLOOKUP("Mins",A1:CV300,60,FALSE)* 90)</f>
      </c>
      <c r="BW60" s="9357">
        <f>6*HLOOKUP("fsXG/90",A1:CV300,60,FALSE)+3*HLOOKUP("fsXA/90",A1:CV300,60,FALSE)</f>
      </c>
      <c r="BX60" t="n" s="9358">
        <v>0.008529474958777428</v>
      </c>
      <c r="BY60" t="n" s="9359">
        <v>0.048201851546764374</v>
      </c>
      <c r="BZ60" s="9360">
        <f>6*HLOOKUP("uXG/90",A1:CV300,60,FALSE)+3*HLOOKUP("uXA/90",A1:CV300,60,FALSE)</f>
      </c>
    </row>
    <row r="61">
      <c r="A61" t="s" s="9361">
        <v>217</v>
      </c>
      <c r="B61" t="s" s="9362">
        <v>80</v>
      </c>
      <c r="C61" t="n" s="9363">
        <v>4.599999904632568</v>
      </c>
      <c r="D61" t="n" s="9364">
        <v>540.0</v>
      </c>
      <c r="E61" t="n" s="9365">
        <v>6.0</v>
      </c>
      <c r="F61" t="n" s="9366">
        <v>34.0</v>
      </c>
      <c r="G61" t="n" s="9367">
        <v>0.0</v>
      </c>
      <c r="H61" t="n" s="9368">
        <v>3.0</v>
      </c>
      <c r="I61" t="n" s="9369">
        <v>206.0</v>
      </c>
      <c r="J61" s="9370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9371">
        <v>0.0</v>
      </c>
      <c r="L61" t="n" s="9372">
        <v>3.0</v>
      </c>
      <c r="M61" t="n" s="9373">
        <v>2.0</v>
      </c>
      <c r="N61" t="n" s="9374">
        <v>0.0</v>
      </c>
      <c r="O61" t="n" s="9375">
        <v>0.0</v>
      </c>
      <c r="P61" s="9376">
        <f>IF(HLOOKUP("Shots",A1:CV300,61,FALSE)=0,0,HLOOKUP("SIB",A1:CV300,61,FALSE)/HLOOKUP("Shots",A1:CV300,61,FALSE))</f>
      </c>
      <c r="Q61" t="n" s="9377">
        <v>0.0</v>
      </c>
      <c r="R61" s="9378">
        <f>IF(HLOOKUP("Shots",A1:CV300,61,FALSE)=0,0,HLOOKUP("S6YD",A1:CV300,61,FALSE)/HLOOKUP("Shots",A1:CV300,61,FALSE))</f>
      </c>
      <c r="S61" t="n" s="9379">
        <v>0.0</v>
      </c>
      <c r="T61" s="9380">
        <f>IF(HLOOKUP("Shots",A1:CV300,61,FALSE)=0,0,HLOOKUP("Headers",A1:CV300,61,FALSE)/HLOOKUP("Shots",A1:CV300,61,FALSE))</f>
      </c>
      <c r="U61" t="n" s="9381">
        <v>0.0</v>
      </c>
      <c r="V61" s="9382">
        <f>IF(HLOOKUP("Shots",A1:CV300,61,FALSE)=0,0,HLOOKUP("SOT",A1:CV300,61,FALSE)/HLOOKUP("Shots",A1:CV300,61,FALSE))</f>
      </c>
      <c r="W61" s="9383">
        <f>IF(HLOOKUP("Shots",A1:CV300,61,FALSE)=0,0,HLOOKUP("Gs",A1:CV300,61,FALSE)/HLOOKUP("Shots",A1:CV300,61,FALSE))</f>
      </c>
      <c r="X61" t="n" s="9384">
        <v>0.0</v>
      </c>
      <c r="Y61" t="n" s="9385">
        <v>2.0</v>
      </c>
      <c r="Z61" t="n" s="9386">
        <v>2.0</v>
      </c>
      <c r="AA61" s="9387">
        <f>IF(HLOOKUP("KP",A1:CV300,61,FALSE)=0,0,HLOOKUP("As",A1:CV300,61,FALSE)/HLOOKUP("KP",A1:CV300,61,FALSE))</f>
      </c>
      <c r="AB61" t="n" s="9388">
        <v>13.5</v>
      </c>
      <c r="AC61" t="n" s="9389">
        <v>0.0</v>
      </c>
      <c r="AD61" t="n" s="9390">
        <v>0.0</v>
      </c>
      <c r="AE61" t="n" s="9391">
        <v>0.0</v>
      </c>
      <c r="AF61" t="n" s="9392">
        <v>0.0</v>
      </c>
      <c r="AG61" s="9393">
        <f>IF(HLOOKUP("BC",A1:CV300,61,FALSE)=0,0,HLOOKUP("Gs - BC",A1:CV300,61,FALSE)/HLOOKUP("BC",A1:CV300,61,FALSE))</f>
      </c>
      <c r="AH61" s="9394">
        <f>HLOOKUP("BC",A1:CV300,61,FALSE) - HLOOKUP("BC Miss",A1:CV300,61,FALSE)</f>
      </c>
      <c r="AI61" s="9395">
        <f>IF(HLOOKUP("Gs",A1:CV300,61,FALSE)=0,0,HLOOKUP("Gs - BC",A1:CV300,61,FALSE)/HLOOKUP("Gs",A1:CV300,61,FALSE))</f>
      </c>
      <c r="AJ61" t="n" s="9396">
        <v>0.0</v>
      </c>
      <c r="AK61" t="n" s="9397">
        <v>0.0</v>
      </c>
      <c r="AL61" s="9398">
        <f>HLOOKUP("BC",A1:CV300,61,FALSE) - (HLOOKUP("PK Gs",A1:CV300,61,FALSE) + HLOOKUP("PK Miss",A1:CV300,61,FALSE))</f>
      </c>
      <c r="AM61" s="9399">
        <f>HLOOKUP("BC Miss",A1:CV300,61,FALSE) - HLOOKUP("PK Miss",A1:CV300,61,FALSE)</f>
      </c>
      <c r="AN61" s="9400">
        <f>IF(HLOOKUP("BC - Open",A1:CV300,61,FALSE)=0,0,HLOOKUP("BC - Open Miss",A1:CV300,61,FALSE)/HLOOKUP("BC - Open",A1:CV300,61,FALSE))</f>
      </c>
      <c r="AO61" t="n" s="9401">
        <v>0.0</v>
      </c>
      <c r="AP61" s="9402">
        <f>IF(HLOOKUP("Gs",A1:CV300,61,FALSE)=0,0,HLOOKUP("GIB",A1:CV300,61,FALSE)/HLOOKUP("Gs",A1:CV300,61,FALSE))</f>
      </c>
      <c r="AQ61" t="n" s="9403">
        <v>0.0</v>
      </c>
      <c r="AR61" s="9404">
        <f>IF(HLOOKUP("Gs",A1:CV300,61,FALSE)=0,0,HLOOKUP("Gs - Open",A1:CV300,61,FALSE)/HLOOKUP("Gs",A1:CV300,61,FALSE))</f>
      </c>
      <c r="AS61" t="n" s="9405">
        <v>0.0</v>
      </c>
      <c r="AT61" t="n" s="9406">
        <v>0.23</v>
      </c>
      <c r="AU61" s="9407">
        <f>IF(HLOOKUP("Mins",A1:CV300,61,FALSE)=0,0,HLOOKUP("Pts",A1:CV300,61,FALSE)/HLOOKUP("Mins",A1:CV300,61,FALSE)* 90)</f>
      </c>
      <c r="AV61" s="9408">
        <f>IF(HLOOKUP("Apps",A1:CV300,61,FALSE)=0,0,HLOOKUP("Pts",A1:CV300,61,FALSE)/HLOOKUP("Apps",A1:CV300,61,FALSE)* 1)</f>
      </c>
      <c r="AW61" s="9409">
        <f>IF(HLOOKUP("Mins",A1:CV300,61,FALSE)=0,0,HLOOKUP("Gs",A1:CV300,61,FALSE)/HLOOKUP("Mins",A1:CV300,61,FALSE)* 90)</f>
      </c>
      <c r="AX61" s="9410">
        <f>IF(HLOOKUP("Mins",A1:CV300,61,FALSE)=0,0,HLOOKUP("Bonus",A1:CV300,61,FALSE)/HLOOKUP("Mins",A1:CV300,61,FALSE)* 90)</f>
      </c>
      <c r="AY61" s="9411">
        <f>IF(HLOOKUP("Mins",A1:CV300,61,FALSE)=0,0,HLOOKUP("BPS",A1:CV300,61,FALSE)/HLOOKUP("Mins",A1:CV300,61,FALSE)* 90)</f>
      </c>
      <c r="AZ61" s="9412">
        <f>IF(HLOOKUP("Mins",A1:CV300,61,FALSE)=0,0,HLOOKUP("Base BPS",A1:CV300,61,FALSE)/HLOOKUP("Mins",A1:CV300,61,FALSE)* 90)</f>
      </c>
      <c r="BA61" s="9413">
        <f>IF(HLOOKUP("Mins",A1:CV300,61,FALSE)=0,0,HLOOKUP("PenTchs",A1:CV300,61,FALSE)/HLOOKUP("Mins",A1:CV300,61,FALSE)* 90)</f>
      </c>
      <c r="BB61" s="9414">
        <f>IF(HLOOKUP("Mins",A1:CV300,61,FALSE)=0,0,HLOOKUP("Shots",A1:CV300,61,FALSE)/HLOOKUP("Mins",A1:CV300,61,FALSE)* 90)</f>
      </c>
      <c r="BC61" s="9415">
        <f>IF(HLOOKUP("Mins",A1:CV300,61,FALSE)=0,0,HLOOKUP("SIB",A1:CV300,61,FALSE)/HLOOKUP("Mins",A1:CV300,61,FALSE)* 90)</f>
      </c>
      <c r="BD61" s="9416">
        <f>IF(HLOOKUP("Mins",A1:CV300,61,FALSE)=0,0,HLOOKUP("S6YD",A1:CV300,61,FALSE)/HLOOKUP("Mins",A1:CV300,61,FALSE)* 90)</f>
      </c>
      <c r="BE61" s="9417">
        <f>IF(HLOOKUP("Mins",A1:CV300,61,FALSE)=0,0,HLOOKUP("Headers",A1:CV300,61,FALSE)/HLOOKUP("Mins",A1:CV300,61,FALSE)* 90)</f>
      </c>
      <c r="BF61" s="9418">
        <f>IF(HLOOKUP("Mins",A1:CV300,61,FALSE)=0,0,HLOOKUP("SOT",A1:CV300,61,FALSE)/HLOOKUP("Mins",A1:CV300,61,FALSE)* 90)</f>
      </c>
      <c r="BG61" s="9419">
        <f>IF(HLOOKUP("Mins",A1:CV300,61,FALSE)=0,0,HLOOKUP("As",A1:CV300,61,FALSE)/HLOOKUP("Mins",A1:CV300,61,FALSE)* 90)</f>
      </c>
      <c r="BH61" s="9420">
        <f>IF(HLOOKUP("Mins",A1:CV300,61,FALSE)=0,0,HLOOKUP("FPL As",A1:CV300,61,FALSE)/HLOOKUP("Mins",A1:CV300,61,FALSE)* 90)</f>
      </c>
      <c r="BI61" s="9421">
        <f>IF(HLOOKUP("Mins",A1:CV300,61,FALSE)=0,0,HLOOKUP("BC Created",A1:CV300,61,FALSE)/HLOOKUP("Mins",A1:CV300,61,FALSE)* 90)</f>
      </c>
      <c r="BJ61" s="9422">
        <f>IF(HLOOKUP("Mins",A1:CV300,61,FALSE)=0,0,HLOOKUP("KP",A1:CV300,61,FALSE)/HLOOKUP("Mins",A1:CV300,61,FALSE)* 90)</f>
      </c>
      <c r="BK61" s="9423">
        <f>IF(HLOOKUP("Mins",A1:CV300,61,FALSE)=0,0,HLOOKUP("BC",A1:CV300,61,FALSE)/HLOOKUP("Mins",A1:CV300,61,FALSE)* 90)</f>
      </c>
      <c r="BL61" s="9424">
        <f>IF(HLOOKUP("Mins",A1:CV300,61,FALSE)=0,0,HLOOKUP("BC Miss",A1:CV300,61,FALSE)/HLOOKUP("Mins",A1:CV300,61,FALSE)* 90)</f>
      </c>
      <c r="BM61" s="9425">
        <f>IF(HLOOKUP("Mins",A1:CV300,61,FALSE)=0,0,HLOOKUP("Gs - BC",A1:CV300,61,FALSE)/HLOOKUP("Mins",A1:CV300,61,FALSE)* 90)</f>
      </c>
      <c r="BN61" s="9426">
        <f>IF(HLOOKUP("Mins",A1:CV300,61,FALSE)=0,0,HLOOKUP("GIB",A1:CV300,61,FALSE)/HLOOKUP("Mins",A1:CV300,61,FALSE)* 90)</f>
      </c>
      <c r="BO61" s="9427">
        <f>IF(HLOOKUP("Mins",A1:CV300,61,FALSE)=0,0,HLOOKUP("Gs - Open",A1:CV300,61,FALSE)/HLOOKUP("Mins",A1:CV300,61,FALSE)* 90)</f>
      </c>
      <c r="BP61" s="9428">
        <f>IF(HLOOKUP("Mins",A1:CV300,61,FALSE)=0,0,HLOOKUP("ICT Index",A1:CV300,61,FALSE)/HLOOKUP("Mins",A1:CV300,61,FALSE)* 90)</f>
      </c>
      <c r="BQ61" s="9429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9430">
        <f>0.0825*HLOOKUP("KP/90",A1:CV300,61,FALSE)</f>
      </c>
      <c r="BS61" s="9431">
        <f>6*HLOOKUP("xG/90",A1:CV300,61,FALSE)+3*HLOOKUP("xA/90",A1:CV300,61,FALSE)</f>
      </c>
      <c r="BT61" s="9432">
        <f>HLOOKUP("xPts/90",A1:CV300,61,FALSE)-(6*0.75*(HLOOKUP("PK Gs",A1:CV300,61,FALSE)+HLOOKUP("PK Miss",A1:CV300,61,FALSE))*90/HLOOKUP("Mins",A1:CV300,61,FALSE))</f>
      </c>
      <c r="BU61" s="9433">
        <f>IF(HLOOKUP("Mins",A1:CV300,61,FALSE)=0,0,HLOOKUP("fsXG",A1:CV300,61,FALSE)/HLOOKUP("Mins",A1:CV300,61,FALSE)* 90)</f>
      </c>
      <c r="BV61" s="9434">
        <f>IF(HLOOKUP("Mins",A1:CV300,61,FALSE)=0,0,HLOOKUP("fsXA",A1:CV300,61,FALSE)/HLOOKUP("Mins",A1:CV300,61,FALSE)* 90)</f>
      </c>
      <c r="BW61" s="9435">
        <f>6*HLOOKUP("fsXG/90",A1:CV300,61,FALSE)+3*HLOOKUP("fsXA/90",A1:CV300,61,FALSE)</f>
      </c>
      <c r="BX61" t="n" s="9436">
        <v>0.0</v>
      </c>
      <c r="BY61" t="n" s="9437">
        <v>0.024282848462462425</v>
      </c>
      <c r="BZ61" s="9438">
        <f>6*HLOOKUP("uXG/90",A1:CV300,61,FALSE)+3*HLOOKUP("uXA/90",A1:CV300,61,FALSE)</f>
      </c>
    </row>
    <row r="62">
      <c r="A62" t="s" s="9439">
        <v>218</v>
      </c>
      <c r="B62" t="s" s="9440">
        <v>82</v>
      </c>
      <c r="C62" t="n" s="9441">
        <v>4.099999904632568</v>
      </c>
      <c r="D62" t="n" s="9442">
        <v>96.0</v>
      </c>
      <c r="E62" t="n" s="9443">
        <v>2.0</v>
      </c>
      <c r="F62" t="n" s="9444">
        <v>7.0</v>
      </c>
      <c r="G62" t="n" s="9445">
        <v>0.0</v>
      </c>
      <c r="H62" t="n" s="9446">
        <v>0.0</v>
      </c>
      <c r="I62" t="n" s="9447">
        <v>29.0</v>
      </c>
      <c r="J62" s="9448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9449">
        <v>0.0</v>
      </c>
      <c r="L62" t="n" s="9450">
        <v>0.0</v>
      </c>
      <c r="M62" t="n" s="9451">
        <v>3.0</v>
      </c>
      <c r="N62" t="n" s="9452">
        <v>2.0</v>
      </c>
      <c r="O62" t="n" s="9453">
        <v>2.0</v>
      </c>
      <c r="P62" s="9454">
        <f>IF(HLOOKUP("Shots",A1:CV300,62,FALSE)=0,0,HLOOKUP("SIB",A1:CV300,62,FALSE)/HLOOKUP("Shots",A1:CV300,62,FALSE))</f>
      </c>
      <c r="Q62" t="n" s="9455">
        <v>0.0</v>
      </c>
      <c r="R62" s="9456">
        <f>IF(HLOOKUP("Shots",A1:CV300,62,FALSE)=0,0,HLOOKUP("S6YD",A1:CV300,62,FALSE)/HLOOKUP("Shots",A1:CV300,62,FALSE))</f>
      </c>
      <c r="S62" t="n" s="9457">
        <v>0.0</v>
      </c>
      <c r="T62" s="9458">
        <f>IF(HLOOKUP("Shots",A1:CV300,62,FALSE)=0,0,HLOOKUP("Headers",A1:CV300,62,FALSE)/HLOOKUP("Shots",A1:CV300,62,FALSE))</f>
      </c>
      <c r="U62" t="n" s="9459">
        <v>2.0</v>
      </c>
      <c r="V62" s="9460">
        <f>IF(HLOOKUP("Shots",A1:CV300,62,FALSE)=0,0,HLOOKUP("SOT",A1:CV300,62,FALSE)/HLOOKUP("Shots",A1:CV300,62,FALSE))</f>
      </c>
      <c r="W62" s="9461">
        <f>IF(HLOOKUP("Shots",A1:CV300,62,FALSE)=0,0,HLOOKUP("Gs",A1:CV300,62,FALSE)/HLOOKUP("Shots",A1:CV300,62,FALSE))</f>
      </c>
      <c r="X62" t="n" s="9462">
        <v>0.0</v>
      </c>
      <c r="Y62" t="n" s="9463">
        <v>0.0</v>
      </c>
      <c r="Z62" t="n" s="9464">
        <v>0.0</v>
      </c>
      <c r="AA62" s="9465">
        <f>IF(HLOOKUP("KP",A1:CV300,62,FALSE)=0,0,HLOOKUP("As",A1:CV300,62,FALSE)/HLOOKUP("KP",A1:CV300,62,FALSE))</f>
      </c>
      <c r="AB62" t="n" s="9466">
        <v>5.9</v>
      </c>
      <c r="AC62" t="n" s="9467">
        <v>0.0</v>
      </c>
      <c r="AD62" t="n" s="9468">
        <v>0.0</v>
      </c>
      <c r="AE62" t="n" s="9469">
        <v>1.0</v>
      </c>
      <c r="AF62" t="n" s="9470">
        <v>1.0</v>
      </c>
      <c r="AG62" s="9471">
        <f>IF(HLOOKUP("BC",A1:CV300,62,FALSE)=0,0,HLOOKUP("Gs - BC",A1:CV300,62,FALSE)/HLOOKUP("BC",A1:CV300,62,FALSE))</f>
      </c>
      <c r="AH62" s="9472">
        <f>HLOOKUP("BC",A1:CV300,62,FALSE) - HLOOKUP("BC Miss",A1:CV300,62,FALSE)</f>
      </c>
      <c r="AI62" s="9473">
        <f>IF(HLOOKUP("Gs",A1:CV300,62,FALSE)=0,0,HLOOKUP("Gs - BC",A1:CV300,62,FALSE)/HLOOKUP("Gs",A1:CV300,62,FALSE))</f>
      </c>
      <c r="AJ62" t="n" s="9474">
        <v>0.0</v>
      </c>
      <c r="AK62" t="n" s="9475">
        <v>0.0</v>
      </c>
      <c r="AL62" s="9476">
        <f>HLOOKUP("BC",A1:CV300,62,FALSE) - (HLOOKUP("PK Gs",A1:CV300,62,FALSE) + HLOOKUP("PK Miss",A1:CV300,62,FALSE))</f>
      </c>
      <c r="AM62" s="9477">
        <f>HLOOKUP("BC Miss",A1:CV300,62,FALSE) - HLOOKUP("PK Miss",A1:CV300,62,FALSE)</f>
      </c>
      <c r="AN62" s="9478">
        <f>IF(HLOOKUP("BC - Open",A1:CV300,62,FALSE)=0,0,HLOOKUP("BC - Open Miss",A1:CV300,62,FALSE)/HLOOKUP("BC - Open",A1:CV300,62,FALSE))</f>
      </c>
      <c r="AO62" t="n" s="9479">
        <v>0.0</v>
      </c>
      <c r="AP62" s="9480">
        <f>IF(HLOOKUP("Gs",A1:CV300,62,FALSE)=0,0,HLOOKUP("GIB",A1:CV300,62,FALSE)/HLOOKUP("Gs",A1:CV300,62,FALSE))</f>
      </c>
      <c r="AQ62" t="n" s="9481">
        <v>0.0</v>
      </c>
      <c r="AR62" s="9482">
        <f>IF(HLOOKUP("Gs",A1:CV300,62,FALSE)=0,0,HLOOKUP("Gs - Open",A1:CV300,62,FALSE)/HLOOKUP("Gs",A1:CV300,62,FALSE))</f>
      </c>
      <c r="AS62" t="n" s="9483">
        <v>0.43</v>
      </c>
      <c r="AT62" t="n" s="9484">
        <v>0.0</v>
      </c>
      <c r="AU62" s="9485">
        <f>IF(HLOOKUP("Mins",A1:CV300,62,FALSE)=0,0,HLOOKUP("Pts",A1:CV300,62,FALSE)/HLOOKUP("Mins",A1:CV300,62,FALSE)* 90)</f>
      </c>
      <c r="AV62" s="9486">
        <f>IF(HLOOKUP("Apps",A1:CV300,62,FALSE)=0,0,HLOOKUP("Pts",A1:CV300,62,FALSE)/HLOOKUP("Apps",A1:CV300,62,FALSE)* 1)</f>
      </c>
      <c r="AW62" s="9487">
        <f>IF(HLOOKUP("Mins",A1:CV300,62,FALSE)=0,0,HLOOKUP("Gs",A1:CV300,62,FALSE)/HLOOKUP("Mins",A1:CV300,62,FALSE)* 90)</f>
      </c>
      <c r="AX62" s="9488">
        <f>IF(HLOOKUP("Mins",A1:CV300,62,FALSE)=0,0,HLOOKUP("Bonus",A1:CV300,62,FALSE)/HLOOKUP("Mins",A1:CV300,62,FALSE)* 90)</f>
      </c>
      <c r="AY62" s="9489">
        <f>IF(HLOOKUP("Mins",A1:CV300,62,FALSE)=0,0,HLOOKUP("BPS",A1:CV300,62,FALSE)/HLOOKUP("Mins",A1:CV300,62,FALSE)* 90)</f>
      </c>
      <c r="AZ62" s="9490">
        <f>IF(HLOOKUP("Mins",A1:CV300,62,FALSE)=0,0,HLOOKUP("Base BPS",A1:CV300,62,FALSE)/HLOOKUP("Mins",A1:CV300,62,FALSE)* 90)</f>
      </c>
      <c r="BA62" s="9491">
        <f>IF(HLOOKUP("Mins",A1:CV300,62,FALSE)=0,0,HLOOKUP("PenTchs",A1:CV300,62,FALSE)/HLOOKUP("Mins",A1:CV300,62,FALSE)* 90)</f>
      </c>
      <c r="BB62" s="9492">
        <f>IF(HLOOKUP("Mins",A1:CV300,62,FALSE)=0,0,HLOOKUP("Shots",A1:CV300,62,FALSE)/HLOOKUP("Mins",A1:CV300,62,FALSE)* 90)</f>
      </c>
      <c r="BC62" s="9493">
        <f>IF(HLOOKUP("Mins",A1:CV300,62,FALSE)=0,0,HLOOKUP("SIB",A1:CV300,62,FALSE)/HLOOKUP("Mins",A1:CV300,62,FALSE)* 90)</f>
      </c>
      <c r="BD62" s="9494">
        <f>IF(HLOOKUP("Mins",A1:CV300,62,FALSE)=0,0,HLOOKUP("S6YD",A1:CV300,62,FALSE)/HLOOKUP("Mins",A1:CV300,62,FALSE)* 90)</f>
      </c>
      <c r="BE62" s="9495">
        <f>IF(HLOOKUP("Mins",A1:CV300,62,FALSE)=0,0,HLOOKUP("Headers",A1:CV300,62,FALSE)/HLOOKUP("Mins",A1:CV300,62,FALSE)* 90)</f>
      </c>
      <c r="BF62" s="9496">
        <f>IF(HLOOKUP("Mins",A1:CV300,62,FALSE)=0,0,HLOOKUP("SOT",A1:CV300,62,FALSE)/HLOOKUP("Mins",A1:CV300,62,FALSE)* 90)</f>
      </c>
      <c r="BG62" s="9497">
        <f>IF(HLOOKUP("Mins",A1:CV300,62,FALSE)=0,0,HLOOKUP("As",A1:CV300,62,FALSE)/HLOOKUP("Mins",A1:CV300,62,FALSE)* 90)</f>
      </c>
      <c r="BH62" s="9498">
        <f>IF(HLOOKUP("Mins",A1:CV300,62,FALSE)=0,0,HLOOKUP("FPL As",A1:CV300,62,FALSE)/HLOOKUP("Mins",A1:CV300,62,FALSE)* 90)</f>
      </c>
      <c r="BI62" s="9499">
        <f>IF(HLOOKUP("Mins",A1:CV300,62,FALSE)=0,0,HLOOKUP("BC Created",A1:CV300,62,FALSE)/HLOOKUP("Mins",A1:CV300,62,FALSE)* 90)</f>
      </c>
      <c r="BJ62" s="9500">
        <f>IF(HLOOKUP("Mins",A1:CV300,62,FALSE)=0,0,HLOOKUP("KP",A1:CV300,62,FALSE)/HLOOKUP("Mins",A1:CV300,62,FALSE)* 90)</f>
      </c>
      <c r="BK62" s="9501">
        <f>IF(HLOOKUP("Mins",A1:CV300,62,FALSE)=0,0,HLOOKUP("BC",A1:CV300,62,FALSE)/HLOOKUP("Mins",A1:CV300,62,FALSE)* 90)</f>
      </c>
      <c r="BL62" s="9502">
        <f>IF(HLOOKUP("Mins",A1:CV300,62,FALSE)=0,0,HLOOKUP("BC Miss",A1:CV300,62,FALSE)/HLOOKUP("Mins",A1:CV300,62,FALSE)* 90)</f>
      </c>
      <c r="BM62" s="9503">
        <f>IF(HLOOKUP("Mins",A1:CV300,62,FALSE)=0,0,HLOOKUP("Gs - BC",A1:CV300,62,FALSE)/HLOOKUP("Mins",A1:CV300,62,FALSE)* 90)</f>
      </c>
      <c r="BN62" s="9504">
        <f>IF(HLOOKUP("Mins",A1:CV300,62,FALSE)=0,0,HLOOKUP("GIB",A1:CV300,62,FALSE)/HLOOKUP("Mins",A1:CV300,62,FALSE)* 90)</f>
      </c>
      <c r="BO62" s="9505">
        <f>IF(HLOOKUP("Mins",A1:CV300,62,FALSE)=0,0,HLOOKUP("Gs - Open",A1:CV300,62,FALSE)/HLOOKUP("Mins",A1:CV300,62,FALSE)* 90)</f>
      </c>
      <c r="BP62" s="9506">
        <f>IF(HLOOKUP("Mins",A1:CV300,62,FALSE)=0,0,HLOOKUP("ICT Index",A1:CV300,62,FALSE)/HLOOKUP("Mins",A1:CV300,62,FALSE)* 90)</f>
      </c>
      <c r="BQ62" s="9507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9508">
        <f>0.0825*HLOOKUP("KP/90",A1:CV300,62,FALSE)</f>
      </c>
      <c r="BS62" s="9509">
        <f>6*HLOOKUP("xG/90",A1:CV300,62,FALSE)+3*HLOOKUP("xA/90",A1:CV300,62,FALSE)</f>
      </c>
      <c r="BT62" s="9510">
        <f>HLOOKUP("xPts/90",A1:CV300,62,FALSE)-(6*0.75*(HLOOKUP("PK Gs",A1:CV300,62,FALSE)+HLOOKUP("PK Miss",A1:CV300,62,FALSE))*90/HLOOKUP("Mins",A1:CV300,62,FALSE))</f>
      </c>
      <c r="BU62" s="9511">
        <f>IF(HLOOKUP("Mins",A1:CV300,62,FALSE)=0,0,HLOOKUP("fsXG",A1:CV300,62,FALSE)/HLOOKUP("Mins",A1:CV300,62,FALSE)* 90)</f>
      </c>
      <c r="BV62" s="9512">
        <f>IF(HLOOKUP("Mins",A1:CV300,62,FALSE)=0,0,HLOOKUP("fsXA",A1:CV300,62,FALSE)/HLOOKUP("Mins",A1:CV300,62,FALSE)* 90)</f>
      </c>
      <c r="BW62" s="9513">
        <f>6*HLOOKUP("fsXG/90",A1:CV300,62,FALSE)+3*HLOOKUP("fsXA/90",A1:CV300,62,FALSE)</f>
      </c>
      <c r="BX62" t="n" s="9514">
        <v>0.4858178198337555</v>
      </c>
      <c r="BY62" t="n" s="9515">
        <v>0.0</v>
      </c>
      <c r="BZ62" s="9516">
        <f>6*HLOOKUP("uXG/90",A1:CV300,62,FALSE)+3*HLOOKUP("uXA/90",A1:CV300,62,FALSE)</f>
      </c>
    </row>
    <row r="63">
      <c r="A63" t="s" s="9517">
        <v>219</v>
      </c>
      <c r="B63" t="s" s="9518">
        <v>94</v>
      </c>
      <c r="C63" t="n" s="9519">
        <v>5.0</v>
      </c>
      <c r="D63" t="n" s="9520">
        <v>540.0</v>
      </c>
      <c r="E63" t="n" s="9521">
        <v>6.0</v>
      </c>
      <c r="F63" t="n" s="9522">
        <v>57.0</v>
      </c>
      <c r="G63" t="n" s="9523">
        <v>0.0</v>
      </c>
      <c r="H63" t="n" s="9524">
        <v>10.0</v>
      </c>
      <c r="I63" t="n" s="9525">
        <v>346.0</v>
      </c>
      <c r="J63" s="9526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9527">
        <v>1.0</v>
      </c>
      <c r="L63" t="n" s="9528">
        <v>3.0</v>
      </c>
      <c r="M63" t="n" s="9529">
        <v>10.0</v>
      </c>
      <c r="N63" t="n" s="9530">
        <v>1.0</v>
      </c>
      <c r="O63" t="n" s="9531">
        <v>1.0</v>
      </c>
      <c r="P63" s="9532">
        <f>IF(HLOOKUP("Shots",A1:CV300,63,FALSE)=0,0,HLOOKUP("SIB",A1:CV300,63,FALSE)/HLOOKUP("Shots",A1:CV300,63,FALSE))</f>
      </c>
      <c r="Q63" t="n" s="9533">
        <v>0.0</v>
      </c>
      <c r="R63" s="9534">
        <f>IF(HLOOKUP("Shots",A1:CV300,63,FALSE)=0,0,HLOOKUP("S6YD",A1:CV300,63,FALSE)/HLOOKUP("Shots",A1:CV300,63,FALSE))</f>
      </c>
      <c r="S63" t="n" s="9535">
        <v>0.0</v>
      </c>
      <c r="T63" s="9536">
        <f>IF(HLOOKUP("Shots",A1:CV300,63,FALSE)=0,0,HLOOKUP("Headers",A1:CV300,63,FALSE)/HLOOKUP("Shots",A1:CV300,63,FALSE))</f>
      </c>
      <c r="U63" t="n" s="9537">
        <v>1.0</v>
      </c>
      <c r="V63" s="9538">
        <f>IF(HLOOKUP("Shots",A1:CV300,63,FALSE)=0,0,HLOOKUP("SOT",A1:CV300,63,FALSE)/HLOOKUP("Shots",A1:CV300,63,FALSE))</f>
      </c>
      <c r="W63" s="9539">
        <f>IF(HLOOKUP("Shots",A1:CV300,63,FALSE)=0,0,HLOOKUP("Gs",A1:CV300,63,FALSE)/HLOOKUP("Shots",A1:CV300,63,FALSE))</f>
      </c>
      <c r="X63" t="n" s="9540">
        <v>1.0</v>
      </c>
      <c r="Y63" t="n" s="9541">
        <v>5.0</v>
      </c>
      <c r="Z63" t="n" s="9542">
        <v>6.0</v>
      </c>
      <c r="AA63" s="9543">
        <f>IF(HLOOKUP("KP",A1:CV300,63,FALSE)=0,0,HLOOKUP("As",A1:CV300,63,FALSE)/HLOOKUP("KP",A1:CV300,63,FALSE))</f>
      </c>
      <c r="AB63" t="n" s="9544">
        <v>28.2</v>
      </c>
      <c r="AC63" t="n" s="9545">
        <v>17.0</v>
      </c>
      <c r="AD63" t="n" s="9546">
        <v>1.0</v>
      </c>
      <c r="AE63" t="n" s="9547">
        <v>0.0</v>
      </c>
      <c r="AF63" t="n" s="9548">
        <v>0.0</v>
      </c>
      <c r="AG63" s="9549">
        <f>IF(HLOOKUP("BC",A1:CV300,63,FALSE)=0,0,HLOOKUP("Gs - BC",A1:CV300,63,FALSE)/HLOOKUP("BC",A1:CV300,63,FALSE))</f>
      </c>
      <c r="AH63" s="9550">
        <f>HLOOKUP("BC",A1:CV300,63,FALSE) - HLOOKUP("BC Miss",A1:CV300,63,FALSE)</f>
      </c>
      <c r="AI63" s="9551">
        <f>IF(HLOOKUP("Gs",A1:CV300,63,FALSE)=0,0,HLOOKUP("Gs - BC",A1:CV300,63,FALSE)/HLOOKUP("Gs",A1:CV300,63,FALSE))</f>
      </c>
      <c r="AJ63" t="n" s="9552">
        <v>0.0</v>
      </c>
      <c r="AK63" t="n" s="9553">
        <v>0.0</v>
      </c>
      <c r="AL63" s="9554">
        <f>HLOOKUP("BC",A1:CV300,63,FALSE) - (HLOOKUP("PK Gs",A1:CV300,63,FALSE) + HLOOKUP("PK Miss",A1:CV300,63,FALSE))</f>
      </c>
      <c r="AM63" s="9555">
        <f>HLOOKUP("BC Miss",A1:CV300,63,FALSE) - HLOOKUP("PK Miss",A1:CV300,63,FALSE)</f>
      </c>
      <c r="AN63" s="9556">
        <f>IF(HLOOKUP("BC - Open",A1:CV300,63,FALSE)=0,0,HLOOKUP("BC - Open Miss",A1:CV300,63,FALSE)/HLOOKUP("BC - Open",A1:CV300,63,FALSE))</f>
      </c>
      <c r="AO63" t="n" s="9557">
        <v>0.0</v>
      </c>
      <c r="AP63" s="9558">
        <f>IF(HLOOKUP("Gs",A1:CV300,63,FALSE)=0,0,HLOOKUP("GIB",A1:CV300,63,FALSE)/HLOOKUP("Gs",A1:CV300,63,FALSE))</f>
      </c>
      <c r="AQ63" t="n" s="9559">
        <v>0.0</v>
      </c>
      <c r="AR63" s="9560">
        <f>IF(HLOOKUP("Gs",A1:CV300,63,FALSE)=0,0,HLOOKUP("Gs - Open",A1:CV300,63,FALSE)/HLOOKUP("Gs",A1:CV300,63,FALSE))</f>
      </c>
      <c r="AS63" t="n" s="9561">
        <v>0.05</v>
      </c>
      <c r="AT63" t="n" s="9562">
        <v>0.53</v>
      </c>
      <c r="AU63" s="9563">
        <f>IF(HLOOKUP("Mins",A1:CV300,63,FALSE)=0,0,HLOOKUP("Pts",A1:CV300,63,FALSE)/HLOOKUP("Mins",A1:CV300,63,FALSE)* 90)</f>
      </c>
      <c r="AV63" s="9564">
        <f>IF(HLOOKUP("Apps",A1:CV300,63,FALSE)=0,0,HLOOKUP("Pts",A1:CV300,63,FALSE)/HLOOKUP("Apps",A1:CV300,63,FALSE)* 1)</f>
      </c>
      <c r="AW63" s="9565">
        <f>IF(HLOOKUP("Mins",A1:CV300,63,FALSE)=0,0,HLOOKUP("Gs",A1:CV300,63,FALSE)/HLOOKUP("Mins",A1:CV300,63,FALSE)* 90)</f>
      </c>
      <c r="AX63" s="9566">
        <f>IF(HLOOKUP("Mins",A1:CV300,63,FALSE)=0,0,HLOOKUP("Bonus",A1:CV300,63,FALSE)/HLOOKUP("Mins",A1:CV300,63,FALSE)* 90)</f>
      </c>
      <c r="AY63" s="9567">
        <f>IF(HLOOKUP("Mins",A1:CV300,63,FALSE)=0,0,HLOOKUP("BPS",A1:CV300,63,FALSE)/HLOOKUP("Mins",A1:CV300,63,FALSE)* 90)</f>
      </c>
      <c r="AZ63" s="9568">
        <f>IF(HLOOKUP("Mins",A1:CV300,63,FALSE)=0,0,HLOOKUP("Base BPS",A1:CV300,63,FALSE)/HLOOKUP("Mins",A1:CV300,63,FALSE)* 90)</f>
      </c>
      <c r="BA63" s="9569">
        <f>IF(HLOOKUP("Mins",A1:CV300,63,FALSE)=0,0,HLOOKUP("PenTchs",A1:CV300,63,FALSE)/HLOOKUP("Mins",A1:CV300,63,FALSE)* 90)</f>
      </c>
      <c r="BB63" s="9570">
        <f>IF(HLOOKUP("Mins",A1:CV300,63,FALSE)=0,0,HLOOKUP("Shots",A1:CV300,63,FALSE)/HLOOKUP("Mins",A1:CV300,63,FALSE)* 90)</f>
      </c>
      <c r="BC63" s="9571">
        <f>IF(HLOOKUP("Mins",A1:CV300,63,FALSE)=0,0,HLOOKUP("SIB",A1:CV300,63,FALSE)/HLOOKUP("Mins",A1:CV300,63,FALSE)* 90)</f>
      </c>
      <c r="BD63" s="9572">
        <f>IF(HLOOKUP("Mins",A1:CV300,63,FALSE)=0,0,HLOOKUP("S6YD",A1:CV300,63,FALSE)/HLOOKUP("Mins",A1:CV300,63,FALSE)* 90)</f>
      </c>
      <c r="BE63" s="9573">
        <f>IF(HLOOKUP("Mins",A1:CV300,63,FALSE)=0,0,HLOOKUP("Headers",A1:CV300,63,FALSE)/HLOOKUP("Mins",A1:CV300,63,FALSE)* 90)</f>
      </c>
      <c r="BF63" s="9574">
        <f>IF(HLOOKUP("Mins",A1:CV300,63,FALSE)=0,0,HLOOKUP("SOT",A1:CV300,63,FALSE)/HLOOKUP("Mins",A1:CV300,63,FALSE)* 90)</f>
      </c>
      <c r="BG63" s="9575">
        <f>IF(HLOOKUP("Mins",A1:CV300,63,FALSE)=0,0,HLOOKUP("As",A1:CV300,63,FALSE)/HLOOKUP("Mins",A1:CV300,63,FALSE)* 90)</f>
      </c>
      <c r="BH63" s="9576">
        <f>IF(HLOOKUP("Mins",A1:CV300,63,FALSE)=0,0,HLOOKUP("FPL As",A1:CV300,63,FALSE)/HLOOKUP("Mins",A1:CV300,63,FALSE)* 90)</f>
      </c>
      <c r="BI63" s="9577">
        <f>IF(HLOOKUP("Mins",A1:CV300,63,FALSE)=0,0,HLOOKUP("BC Created",A1:CV300,63,FALSE)/HLOOKUP("Mins",A1:CV300,63,FALSE)* 90)</f>
      </c>
      <c r="BJ63" s="9578">
        <f>IF(HLOOKUP("Mins",A1:CV300,63,FALSE)=0,0,HLOOKUP("KP",A1:CV300,63,FALSE)/HLOOKUP("Mins",A1:CV300,63,FALSE)* 90)</f>
      </c>
      <c r="BK63" s="9579">
        <f>IF(HLOOKUP("Mins",A1:CV300,63,FALSE)=0,0,HLOOKUP("BC",A1:CV300,63,FALSE)/HLOOKUP("Mins",A1:CV300,63,FALSE)* 90)</f>
      </c>
      <c r="BL63" s="9580">
        <f>IF(HLOOKUP("Mins",A1:CV300,63,FALSE)=0,0,HLOOKUP("BC Miss",A1:CV300,63,FALSE)/HLOOKUP("Mins",A1:CV300,63,FALSE)* 90)</f>
      </c>
      <c r="BM63" s="9581">
        <f>IF(HLOOKUP("Mins",A1:CV300,63,FALSE)=0,0,HLOOKUP("Gs - BC",A1:CV300,63,FALSE)/HLOOKUP("Mins",A1:CV300,63,FALSE)* 90)</f>
      </c>
      <c r="BN63" s="9582">
        <f>IF(HLOOKUP("Mins",A1:CV300,63,FALSE)=0,0,HLOOKUP("GIB",A1:CV300,63,FALSE)/HLOOKUP("Mins",A1:CV300,63,FALSE)* 90)</f>
      </c>
      <c r="BO63" s="9583">
        <f>IF(HLOOKUP("Mins",A1:CV300,63,FALSE)=0,0,HLOOKUP("Gs - Open",A1:CV300,63,FALSE)/HLOOKUP("Mins",A1:CV300,63,FALSE)* 90)</f>
      </c>
      <c r="BP63" s="9584">
        <f>IF(HLOOKUP("Mins",A1:CV300,63,FALSE)=0,0,HLOOKUP("ICT Index",A1:CV300,63,FALSE)/HLOOKUP("Mins",A1:CV300,63,FALSE)* 90)</f>
      </c>
      <c r="BQ63" s="9585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9586">
        <f>0.0825*HLOOKUP("KP/90",A1:CV300,63,FALSE)</f>
      </c>
      <c r="BS63" s="9587">
        <f>6*HLOOKUP("xG/90",A1:CV300,63,FALSE)+3*HLOOKUP("xA/90",A1:CV300,63,FALSE)</f>
      </c>
      <c r="BT63" s="9588">
        <f>HLOOKUP("xPts/90",A1:CV300,63,FALSE)-(6*0.75*(HLOOKUP("PK Gs",A1:CV300,63,FALSE)+HLOOKUP("PK Miss",A1:CV300,63,FALSE))*90/HLOOKUP("Mins",A1:CV300,63,FALSE))</f>
      </c>
      <c r="BU63" s="9589">
        <f>IF(HLOOKUP("Mins",A1:CV300,63,FALSE)=0,0,HLOOKUP("fsXG",A1:CV300,63,FALSE)/HLOOKUP("Mins",A1:CV300,63,FALSE)* 90)</f>
      </c>
      <c r="BV63" s="9590">
        <f>IF(HLOOKUP("Mins",A1:CV300,63,FALSE)=0,0,HLOOKUP("fsXA",A1:CV300,63,FALSE)/HLOOKUP("Mins",A1:CV300,63,FALSE)* 90)</f>
      </c>
      <c r="BW63" s="9591">
        <f>6*HLOOKUP("fsXG/90",A1:CV300,63,FALSE)+3*HLOOKUP("fsXA/90",A1:CV300,63,FALSE)</f>
      </c>
      <c r="BX63" t="n" s="9592">
        <v>0.009517235681414604</v>
      </c>
      <c r="BY63" t="n" s="9593">
        <v>0.12256412953138351</v>
      </c>
      <c r="BZ63" s="9594">
        <f>6*HLOOKUP("uXG/90",A1:CV300,63,FALSE)+3*HLOOKUP("uXA/90",A1:CV300,63,FALSE)</f>
      </c>
    </row>
    <row r="64">
      <c r="A64" t="s" s="9595">
        <v>220</v>
      </c>
      <c r="B64" t="s" s="9596">
        <v>98</v>
      </c>
      <c r="C64" t="n" s="9597">
        <v>4.300000190734863</v>
      </c>
      <c r="D64" t="n" s="9598">
        <v>540.0</v>
      </c>
      <c r="E64" t="n" s="9599">
        <v>6.0</v>
      </c>
      <c r="F64" t="n" s="9600">
        <v>44.0</v>
      </c>
      <c r="G64" t="n" s="9601">
        <v>1.0</v>
      </c>
      <c r="H64" t="n" s="9602">
        <v>4.0</v>
      </c>
      <c r="I64" t="n" s="9603">
        <v>220.0</v>
      </c>
      <c r="J64" s="9604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9605">
        <v>0.0</v>
      </c>
      <c r="L64" t="n" s="9606">
        <v>2.0</v>
      </c>
      <c r="M64" t="n" s="9607">
        <v>10.0</v>
      </c>
      <c r="N64" t="n" s="9608">
        <v>3.0</v>
      </c>
      <c r="O64" t="n" s="9609">
        <v>3.0</v>
      </c>
      <c r="P64" s="9610">
        <f>IF(HLOOKUP("Shots",A1:CV300,64,FALSE)=0,0,HLOOKUP("SIB",A1:CV300,64,FALSE)/HLOOKUP("Shots",A1:CV300,64,FALSE))</f>
      </c>
      <c r="Q64" t="n" s="9611">
        <v>1.0</v>
      </c>
      <c r="R64" s="9612">
        <f>IF(HLOOKUP("Shots",A1:CV300,64,FALSE)=0,0,HLOOKUP("S6YD",A1:CV300,64,FALSE)/HLOOKUP("Shots",A1:CV300,64,FALSE))</f>
      </c>
      <c r="S64" t="n" s="9613">
        <v>1.0</v>
      </c>
      <c r="T64" s="9614">
        <f>IF(HLOOKUP("Shots",A1:CV300,64,FALSE)=0,0,HLOOKUP("Headers",A1:CV300,64,FALSE)/HLOOKUP("Shots",A1:CV300,64,FALSE))</f>
      </c>
      <c r="U64" t="n" s="9615">
        <v>1.0</v>
      </c>
      <c r="V64" s="9616">
        <f>IF(HLOOKUP("Shots",A1:CV300,64,FALSE)=0,0,HLOOKUP("SOT",A1:CV300,64,FALSE)/HLOOKUP("Shots",A1:CV300,64,FALSE))</f>
      </c>
      <c r="W64" s="9617">
        <f>IF(HLOOKUP("Shots",A1:CV300,64,FALSE)=0,0,HLOOKUP("Gs",A1:CV300,64,FALSE)/HLOOKUP("Shots",A1:CV300,64,FALSE))</f>
      </c>
      <c r="X64" t="n" s="9618">
        <v>1.0</v>
      </c>
      <c r="Y64" t="n" s="9619">
        <v>2.0</v>
      </c>
      <c r="Z64" t="n" s="9620">
        <v>3.0</v>
      </c>
      <c r="AA64" s="9621">
        <f>IF(HLOOKUP("KP",A1:CV300,64,FALSE)=0,0,HLOOKUP("As",A1:CV300,64,FALSE)/HLOOKUP("KP",A1:CV300,64,FALSE))</f>
      </c>
      <c r="AB64" t="n" s="9622">
        <v>27.6</v>
      </c>
      <c r="AC64" t="n" s="9623">
        <v>22.0</v>
      </c>
      <c r="AD64" t="n" s="9624">
        <v>1.0</v>
      </c>
      <c r="AE64" t="n" s="9625">
        <v>1.0</v>
      </c>
      <c r="AF64" t="n" s="9626">
        <v>1.0</v>
      </c>
      <c r="AG64" s="9627">
        <f>IF(HLOOKUP("BC",A1:CV300,64,FALSE)=0,0,HLOOKUP("Gs - BC",A1:CV300,64,FALSE)/HLOOKUP("BC",A1:CV300,64,FALSE))</f>
      </c>
      <c r="AH64" s="9628">
        <f>HLOOKUP("BC",A1:CV300,64,FALSE) - HLOOKUP("BC Miss",A1:CV300,64,FALSE)</f>
      </c>
      <c r="AI64" s="9629">
        <f>IF(HLOOKUP("Gs",A1:CV300,64,FALSE)=0,0,HLOOKUP("Gs - BC",A1:CV300,64,FALSE)/HLOOKUP("Gs",A1:CV300,64,FALSE))</f>
      </c>
      <c r="AJ64" t="n" s="9630">
        <v>0.0</v>
      </c>
      <c r="AK64" t="n" s="9631">
        <v>0.0</v>
      </c>
      <c r="AL64" s="9632">
        <f>HLOOKUP("BC",A1:CV300,64,FALSE) - (HLOOKUP("PK Gs",A1:CV300,64,FALSE) + HLOOKUP("PK Miss",A1:CV300,64,FALSE))</f>
      </c>
      <c r="AM64" s="9633">
        <f>HLOOKUP("BC Miss",A1:CV300,64,FALSE) - HLOOKUP("PK Miss",A1:CV300,64,FALSE)</f>
      </c>
      <c r="AN64" s="9634">
        <f>IF(HLOOKUP("BC - Open",A1:CV300,64,FALSE)=0,0,HLOOKUP("BC - Open Miss",A1:CV300,64,FALSE)/HLOOKUP("BC - Open",A1:CV300,64,FALSE))</f>
      </c>
      <c r="AO64" t="n" s="9635">
        <v>1.0</v>
      </c>
      <c r="AP64" s="9636">
        <f>IF(HLOOKUP("Gs",A1:CV300,64,FALSE)=0,0,HLOOKUP("GIB",A1:CV300,64,FALSE)/HLOOKUP("Gs",A1:CV300,64,FALSE))</f>
      </c>
      <c r="AQ64" t="n" s="9637">
        <v>0.0</v>
      </c>
      <c r="AR64" s="9638">
        <f>IF(HLOOKUP("Gs",A1:CV300,64,FALSE)=0,0,HLOOKUP("Gs - Open",A1:CV300,64,FALSE)/HLOOKUP("Gs",A1:CV300,64,FALSE))</f>
      </c>
      <c r="AS64" t="n" s="9639">
        <v>0.65</v>
      </c>
      <c r="AT64" t="n" s="9640">
        <v>0.57</v>
      </c>
      <c r="AU64" s="9641">
        <f>IF(HLOOKUP("Mins",A1:CV300,64,FALSE)=0,0,HLOOKUP("Pts",A1:CV300,64,FALSE)/HLOOKUP("Mins",A1:CV300,64,FALSE)* 90)</f>
      </c>
      <c r="AV64" s="9642">
        <f>IF(HLOOKUP("Apps",A1:CV300,64,FALSE)=0,0,HLOOKUP("Pts",A1:CV300,64,FALSE)/HLOOKUP("Apps",A1:CV300,64,FALSE)* 1)</f>
      </c>
      <c r="AW64" s="9643">
        <f>IF(HLOOKUP("Mins",A1:CV300,64,FALSE)=0,0,HLOOKUP("Gs",A1:CV300,64,FALSE)/HLOOKUP("Mins",A1:CV300,64,FALSE)* 90)</f>
      </c>
      <c r="AX64" s="9644">
        <f>IF(HLOOKUP("Mins",A1:CV300,64,FALSE)=0,0,HLOOKUP("Bonus",A1:CV300,64,FALSE)/HLOOKUP("Mins",A1:CV300,64,FALSE)* 90)</f>
      </c>
      <c r="AY64" s="9645">
        <f>IF(HLOOKUP("Mins",A1:CV300,64,FALSE)=0,0,HLOOKUP("BPS",A1:CV300,64,FALSE)/HLOOKUP("Mins",A1:CV300,64,FALSE)* 90)</f>
      </c>
      <c r="AZ64" s="9646">
        <f>IF(HLOOKUP("Mins",A1:CV300,64,FALSE)=0,0,HLOOKUP("Base BPS",A1:CV300,64,FALSE)/HLOOKUP("Mins",A1:CV300,64,FALSE)* 90)</f>
      </c>
      <c r="BA64" s="9647">
        <f>IF(HLOOKUP("Mins",A1:CV300,64,FALSE)=0,0,HLOOKUP("PenTchs",A1:CV300,64,FALSE)/HLOOKUP("Mins",A1:CV300,64,FALSE)* 90)</f>
      </c>
      <c r="BB64" s="9648">
        <f>IF(HLOOKUP("Mins",A1:CV300,64,FALSE)=0,0,HLOOKUP("Shots",A1:CV300,64,FALSE)/HLOOKUP("Mins",A1:CV300,64,FALSE)* 90)</f>
      </c>
      <c r="BC64" s="9649">
        <f>IF(HLOOKUP("Mins",A1:CV300,64,FALSE)=0,0,HLOOKUP("SIB",A1:CV300,64,FALSE)/HLOOKUP("Mins",A1:CV300,64,FALSE)* 90)</f>
      </c>
      <c r="BD64" s="9650">
        <f>IF(HLOOKUP("Mins",A1:CV300,64,FALSE)=0,0,HLOOKUP("S6YD",A1:CV300,64,FALSE)/HLOOKUP("Mins",A1:CV300,64,FALSE)* 90)</f>
      </c>
      <c r="BE64" s="9651">
        <f>IF(HLOOKUP("Mins",A1:CV300,64,FALSE)=0,0,HLOOKUP("Headers",A1:CV300,64,FALSE)/HLOOKUP("Mins",A1:CV300,64,FALSE)* 90)</f>
      </c>
      <c r="BF64" s="9652">
        <f>IF(HLOOKUP("Mins",A1:CV300,64,FALSE)=0,0,HLOOKUP("SOT",A1:CV300,64,FALSE)/HLOOKUP("Mins",A1:CV300,64,FALSE)* 90)</f>
      </c>
      <c r="BG64" s="9653">
        <f>IF(HLOOKUP("Mins",A1:CV300,64,FALSE)=0,0,HLOOKUP("As",A1:CV300,64,FALSE)/HLOOKUP("Mins",A1:CV300,64,FALSE)* 90)</f>
      </c>
      <c r="BH64" s="9654">
        <f>IF(HLOOKUP("Mins",A1:CV300,64,FALSE)=0,0,HLOOKUP("FPL As",A1:CV300,64,FALSE)/HLOOKUP("Mins",A1:CV300,64,FALSE)* 90)</f>
      </c>
      <c r="BI64" s="9655">
        <f>IF(HLOOKUP("Mins",A1:CV300,64,FALSE)=0,0,HLOOKUP("BC Created",A1:CV300,64,FALSE)/HLOOKUP("Mins",A1:CV300,64,FALSE)* 90)</f>
      </c>
      <c r="BJ64" s="9656">
        <f>IF(HLOOKUP("Mins",A1:CV300,64,FALSE)=0,0,HLOOKUP("KP",A1:CV300,64,FALSE)/HLOOKUP("Mins",A1:CV300,64,FALSE)* 90)</f>
      </c>
      <c r="BK64" s="9657">
        <f>IF(HLOOKUP("Mins",A1:CV300,64,FALSE)=0,0,HLOOKUP("BC",A1:CV300,64,FALSE)/HLOOKUP("Mins",A1:CV300,64,FALSE)* 90)</f>
      </c>
      <c r="BL64" s="9658">
        <f>IF(HLOOKUP("Mins",A1:CV300,64,FALSE)=0,0,HLOOKUP("BC Miss",A1:CV300,64,FALSE)/HLOOKUP("Mins",A1:CV300,64,FALSE)* 90)</f>
      </c>
      <c r="BM64" s="9659">
        <f>IF(HLOOKUP("Mins",A1:CV300,64,FALSE)=0,0,HLOOKUP("Gs - BC",A1:CV300,64,FALSE)/HLOOKUP("Mins",A1:CV300,64,FALSE)* 90)</f>
      </c>
      <c r="BN64" s="9660">
        <f>IF(HLOOKUP("Mins",A1:CV300,64,FALSE)=0,0,HLOOKUP("GIB",A1:CV300,64,FALSE)/HLOOKUP("Mins",A1:CV300,64,FALSE)* 90)</f>
      </c>
      <c r="BO64" s="9661">
        <f>IF(HLOOKUP("Mins",A1:CV300,64,FALSE)=0,0,HLOOKUP("Gs - Open",A1:CV300,64,FALSE)/HLOOKUP("Mins",A1:CV300,64,FALSE)* 90)</f>
      </c>
      <c r="BP64" s="9662">
        <f>IF(HLOOKUP("Mins",A1:CV300,64,FALSE)=0,0,HLOOKUP("ICT Index",A1:CV300,64,FALSE)/HLOOKUP("Mins",A1:CV300,64,FALSE)* 90)</f>
      </c>
      <c r="BQ64" s="9663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9664">
        <f>0.0825*HLOOKUP("KP/90",A1:CV300,64,FALSE)</f>
      </c>
      <c r="BS64" s="9665">
        <f>6*HLOOKUP("xG/90",A1:CV300,64,FALSE)+3*HLOOKUP("xA/90",A1:CV300,64,FALSE)</f>
      </c>
      <c r="BT64" s="9666">
        <f>HLOOKUP("xPts/90",A1:CV300,64,FALSE)-(6*0.75*(HLOOKUP("PK Gs",A1:CV300,64,FALSE)+HLOOKUP("PK Miss",A1:CV300,64,FALSE))*90/HLOOKUP("Mins",A1:CV300,64,FALSE))</f>
      </c>
      <c r="BU64" s="9667">
        <f>IF(HLOOKUP("Mins",A1:CV300,64,FALSE)=0,0,HLOOKUP("fsXG",A1:CV300,64,FALSE)/HLOOKUP("Mins",A1:CV300,64,FALSE)* 90)</f>
      </c>
      <c r="BV64" s="9668">
        <f>IF(HLOOKUP("Mins",A1:CV300,64,FALSE)=0,0,HLOOKUP("fsXA",A1:CV300,64,FALSE)/HLOOKUP("Mins",A1:CV300,64,FALSE)* 90)</f>
      </c>
      <c r="BW64" s="9669">
        <f>6*HLOOKUP("fsXG/90",A1:CV300,64,FALSE)+3*HLOOKUP("fsXA/90",A1:CV300,64,FALSE)</f>
      </c>
      <c r="BX64" t="n" s="9670">
        <v>0.1204933449625969</v>
      </c>
      <c r="BY64" t="n" s="9671">
        <v>0.10469348728656769</v>
      </c>
      <c r="BZ64" s="9672">
        <f>6*HLOOKUP("uXG/90",A1:CV300,64,FALSE)+3*HLOOKUP("uXA/90",A1:CV300,64,FALSE)</f>
      </c>
    </row>
    <row r="65">
      <c r="A65" t="s" s="9673">
        <v>221</v>
      </c>
      <c r="B65" t="s" s="9674">
        <v>117</v>
      </c>
      <c r="C65" t="n" s="9675">
        <v>4.300000190734863</v>
      </c>
      <c r="D65" t="n" s="9676">
        <v>112.0</v>
      </c>
      <c r="E65" t="n" s="9677">
        <v>3.0</v>
      </c>
      <c r="F65" t="n" s="9678">
        <v>23.0</v>
      </c>
      <c r="G65" t="n" s="9679">
        <v>0.0</v>
      </c>
      <c r="H65" t="n" s="9680">
        <v>1.0</v>
      </c>
      <c r="I65" t="n" s="9681">
        <v>103.0</v>
      </c>
      <c r="J65" s="9682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9683">
        <v>0.0</v>
      </c>
      <c r="L65" t="n" s="9684">
        <v>3.0</v>
      </c>
      <c r="M65" t="n" s="9685">
        <v>1.0</v>
      </c>
      <c r="N65" t="n" s="9686">
        <v>1.0</v>
      </c>
      <c r="O65" t="n" s="9687">
        <v>1.0</v>
      </c>
      <c r="P65" s="9688">
        <f>IF(HLOOKUP("Shots",A1:CV300,65,FALSE)=0,0,HLOOKUP("SIB",A1:CV300,65,FALSE)/HLOOKUP("Shots",A1:CV300,65,FALSE))</f>
      </c>
      <c r="Q65" t="n" s="9689">
        <v>0.0</v>
      </c>
      <c r="R65" s="9690">
        <f>IF(HLOOKUP("Shots",A1:CV300,65,FALSE)=0,0,HLOOKUP("S6YD",A1:CV300,65,FALSE)/HLOOKUP("Shots",A1:CV300,65,FALSE))</f>
      </c>
      <c r="S65" t="n" s="9691">
        <v>1.0</v>
      </c>
      <c r="T65" s="9692">
        <f>IF(HLOOKUP("Shots",A1:CV300,65,FALSE)=0,0,HLOOKUP("Headers",A1:CV300,65,FALSE)/HLOOKUP("Shots",A1:CV300,65,FALSE))</f>
      </c>
      <c r="U65" t="n" s="9693">
        <v>0.0</v>
      </c>
      <c r="V65" s="9694">
        <f>IF(HLOOKUP("Shots",A1:CV300,65,FALSE)=0,0,HLOOKUP("SOT",A1:CV300,65,FALSE)/HLOOKUP("Shots",A1:CV300,65,FALSE))</f>
      </c>
      <c r="W65" s="9695">
        <f>IF(HLOOKUP("Shots",A1:CV300,65,FALSE)=0,0,HLOOKUP("Gs",A1:CV300,65,FALSE)/HLOOKUP("Shots",A1:CV300,65,FALSE))</f>
      </c>
      <c r="X65" t="n" s="9696">
        <v>0.0</v>
      </c>
      <c r="Y65" t="n" s="9697">
        <v>0.0</v>
      </c>
      <c r="Z65" t="n" s="9698">
        <v>0.0</v>
      </c>
      <c r="AA65" s="9699">
        <f>IF(HLOOKUP("KP",A1:CV300,65,FALSE)=0,0,HLOOKUP("As",A1:CV300,65,FALSE)/HLOOKUP("KP",A1:CV300,65,FALSE))</f>
      </c>
      <c r="AB65" t="n" s="9700">
        <v>5.0</v>
      </c>
      <c r="AC65" t="n" s="9701">
        <v>0.0</v>
      </c>
      <c r="AD65" t="n" s="9702">
        <v>0.0</v>
      </c>
      <c r="AE65" t="n" s="9703">
        <v>0.0</v>
      </c>
      <c r="AF65" t="n" s="9704">
        <v>0.0</v>
      </c>
      <c r="AG65" s="9705">
        <f>IF(HLOOKUP("BC",A1:CV300,65,FALSE)=0,0,HLOOKUP("Gs - BC",A1:CV300,65,FALSE)/HLOOKUP("BC",A1:CV300,65,FALSE))</f>
      </c>
      <c r="AH65" s="9706">
        <f>HLOOKUP("BC",A1:CV300,65,FALSE) - HLOOKUP("BC Miss",A1:CV300,65,FALSE)</f>
      </c>
      <c r="AI65" s="9707">
        <f>IF(HLOOKUP("Gs",A1:CV300,65,FALSE)=0,0,HLOOKUP("Gs - BC",A1:CV300,65,FALSE)/HLOOKUP("Gs",A1:CV300,65,FALSE))</f>
      </c>
      <c r="AJ65" t="n" s="9708">
        <v>0.0</v>
      </c>
      <c r="AK65" t="n" s="9709">
        <v>0.0</v>
      </c>
      <c r="AL65" s="9710">
        <f>HLOOKUP("BC",A1:CV300,65,FALSE) - (HLOOKUP("PK Gs",A1:CV300,65,FALSE) + HLOOKUP("PK Miss",A1:CV300,65,FALSE))</f>
      </c>
      <c r="AM65" s="9711">
        <f>HLOOKUP("BC Miss",A1:CV300,65,FALSE) - HLOOKUP("PK Miss",A1:CV300,65,FALSE)</f>
      </c>
      <c r="AN65" s="9712">
        <f>IF(HLOOKUP("BC - Open",A1:CV300,65,FALSE)=0,0,HLOOKUP("BC - Open Miss",A1:CV300,65,FALSE)/HLOOKUP("BC - Open",A1:CV300,65,FALSE))</f>
      </c>
      <c r="AO65" t="n" s="9713">
        <v>0.0</v>
      </c>
      <c r="AP65" s="9714">
        <f>IF(HLOOKUP("Gs",A1:CV300,65,FALSE)=0,0,HLOOKUP("GIB",A1:CV300,65,FALSE)/HLOOKUP("Gs",A1:CV300,65,FALSE))</f>
      </c>
      <c r="AQ65" t="n" s="9715">
        <v>0.0</v>
      </c>
      <c r="AR65" s="9716">
        <f>IF(HLOOKUP("Gs",A1:CV300,65,FALSE)=0,0,HLOOKUP("Gs - Open",A1:CV300,65,FALSE)/HLOOKUP("Gs",A1:CV300,65,FALSE))</f>
      </c>
      <c r="AS65" t="n" s="9717">
        <v>0.09</v>
      </c>
      <c r="AT65" t="n" s="9718">
        <v>0.03</v>
      </c>
      <c r="AU65" s="9719">
        <f>IF(HLOOKUP("Mins",A1:CV300,65,FALSE)=0,0,HLOOKUP("Pts",A1:CV300,65,FALSE)/HLOOKUP("Mins",A1:CV300,65,FALSE)* 90)</f>
      </c>
      <c r="AV65" s="9720">
        <f>IF(HLOOKUP("Apps",A1:CV300,65,FALSE)=0,0,HLOOKUP("Pts",A1:CV300,65,FALSE)/HLOOKUP("Apps",A1:CV300,65,FALSE)* 1)</f>
      </c>
      <c r="AW65" s="9721">
        <f>IF(HLOOKUP("Mins",A1:CV300,65,FALSE)=0,0,HLOOKUP("Gs",A1:CV300,65,FALSE)/HLOOKUP("Mins",A1:CV300,65,FALSE)* 90)</f>
      </c>
      <c r="AX65" s="9722">
        <f>IF(HLOOKUP("Mins",A1:CV300,65,FALSE)=0,0,HLOOKUP("Bonus",A1:CV300,65,FALSE)/HLOOKUP("Mins",A1:CV300,65,FALSE)* 90)</f>
      </c>
      <c r="AY65" s="9723">
        <f>IF(HLOOKUP("Mins",A1:CV300,65,FALSE)=0,0,HLOOKUP("BPS",A1:CV300,65,FALSE)/HLOOKUP("Mins",A1:CV300,65,FALSE)* 90)</f>
      </c>
      <c r="AZ65" s="9724">
        <f>IF(HLOOKUP("Mins",A1:CV300,65,FALSE)=0,0,HLOOKUP("Base BPS",A1:CV300,65,FALSE)/HLOOKUP("Mins",A1:CV300,65,FALSE)* 90)</f>
      </c>
      <c r="BA65" s="9725">
        <f>IF(HLOOKUP("Mins",A1:CV300,65,FALSE)=0,0,HLOOKUP("PenTchs",A1:CV300,65,FALSE)/HLOOKUP("Mins",A1:CV300,65,FALSE)* 90)</f>
      </c>
      <c r="BB65" s="9726">
        <f>IF(HLOOKUP("Mins",A1:CV300,65,FALSE)=0,0,HLOOKUP("Shots",A1:CV300,65,FALSE)/HLOOKUP("Mins",A1:CV300,65,FALSE)* 90)</f>
      </c>
      <c r="BC65" s="9727">
        <f>IF(HLOOKUP("Mins",A1:CV300,65,FALSE)=0,0,HLOOKUP("SIB",A1:CV300,65,FALSE)/HLOOKUP("Mins",A1:CV300,65,FALSE)* 90)</f>
      </c>
      <c r="BD65" s="9728">
        <f>IF(HLOOKUP("Mins",A1:CV300,65,FALSE)=0,0,HLOOKUP("S6YD",A1:CV300,65,FALSE)/HLOOKUP("Mins",A1:CV300,65,FALSE)* 90)</f>
      </c>
      <c r="BE65" s="9729">
        <f>IF(HLOOKUP("Mins",A1:CV300,65,FALSE)=0,0,HLOOKUP("Headers",A1:CV300,65,FALSE)/HLOOKUP("Mins",A1:CV300,65,FALSE)* 90)</f>
      </c>
      <c r="BF65" s="9730">
        <f>IF(HLOOKUP("Mins",A1:CV300,65,FALSE)=0,0,HLOOKUP("SOT",A1:CV300,65,FALSE)/HLOOKUP("Mins",A1:CV300,65,FALSE)* 90)</f>
      </c>
      <c r="BG65" s="9731">
        <f>IF(HLOOKUP("Mins",A1:CV300,65,FALSE)=0,0,HLOOKUP("As",A1:CV300,65,FALSE)/HLOOKUP("Mins",A1:CV300,65,FALSE)* 90)</f>
      </c>
      <c r="BH65" s="9732">
        <f>IF(HLOOKUP("Mins",A1:CV300,65,FALSE)=0,0,HLOOKUP("FPL As",A1:CV300,65,FALSE)/HLOOKUP("Mins",A1:CV300,65,FALSE)* 90)</f>
      </c>
      <c r="BI65" s="9733">
        <f>IF(HLOOKUP("Mins",A1:CV300,65,FALSE)=0,0,HLOOKUP("BC Created",A1:CV300,65,FALSE)/HLOOKUP("Mins",A1:CV300,65,FALSE)* 90)</f>
      </c>
      <c r="BJ65" s="9734">
        <f>IF(HLOOKUP("Mins",A1:CV300,65,FALSE)=0,0,HLOOKUP("KP",A1:CV300,65,FALSE)/HLOOKUP("Mins",A1:CV300,65,FALSE)* 90)</f>
      </c>
      <c r="BK65" s="9735">
        <f>IF(HLOOKUP("Mins",A1:CV300,65,FALSE)=0,0,HLOOKUP("BC",A1:CV300,65,FALSE)/HLOOKUP("Mins",A1:CV300,65,FALSE)* 90)</f>
      </c>
      <c r="BL65" s="9736">
        <f>IF(HLOOKUP("Mins",A1:CV300,65,FALSE)=0,0,HLOOKUP("BC Miss",A1:CV300,65,FALSE)/HLOOKUP("Mins",A1:CV300,65,FALSE)* 90)</f>
      </c>
      <c r="BM65" s="9737">
        <f>IF(HLOOKUP("Mins",A1:CV300,65,FALSE)=0,0,HLOOKUP("Gs - BC",A1:CV300,65,FALSE)/HLOOKUP("Mins",A1:CV300,65,FALSE)* 90)</f>
      </c>
      <c r="BN65" s="9738">
        <f>IF(HLOOKUP("Mins",A1:CV300,65,FALSE)=0,0,HLOOKUP("GIB",A1:CV300,65,FALSE)/HLOOKUP("Mins",A1:CV300,65,FALSE)* 90)</f>
      </c>
      <c r="BO65" s="9739">
        <f>IF(HLOOKUP("Mins",A1:CV300,65,FALSE)=0,0,HLOOKUP("Gs - Open",A1:CV300,65,FALSE)/HLOOKUP("Mins",A1:CV300,65,FALSE)* 90)</f>
      </c>
      <c r="BP65" s="9740">
        <f>IF(HLOOKUP("Mins",A1:CV300,65,FALSE)=0,0,HLOOKUP("ICT Index",A1:CV300,65,FALSE)/HLOOKUP("Mins",A1:CV300,65,FALSE)* 90)</f>
      </c>
      <c r="BQ65" s="9741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9742">
        <f>0.0825*HLOOKUP("KP/90",A1:CV300,65,FALSE)</f>
      </c>
      <c r="BS65" s="9743">
        <f>6*HLOOKUP("xG/90",A1:CV300,65,FALSE)+3*HLOOKUP("xA/90",A1:CV300,65,FALSE)</f>
      </c>
      <c r="BT65" s="9744">
        <f>HLOOKUP("xPts/90",A1:CV300,65,FALSE)-(6*0.75*(HLOOKUP("PK Gs",A1:CV300,65,FALSE)+HLOOKUP("PK Miss",A1:CV300,65,FALSE))*90/HLOOKUP("Mins",A1:CV300,65,FALSE))</f>
      </c>
      <c r="BU65" s="9745">
        <f>IF(HLOOKUP("Mins",A1:CV300,65,FALSE)=0,0,HLOOKUP("fsXG",A1:CV300,65,FALSE)/HLOOKUP("Mins",A1:CV300,65,FALSE)* 90)</f>
      </c>
      <c r="BV65" s="9746">
        <f>IF(HLOOKUP("Mins",A1:CV300,65,FALSE)=0,0,HLOOKUP("fsXA",A1:CV300,65,FALSE)/HLOOKUP("Mins",A1:CV300,65,FALSE)* 90)</f>
      </c>
      <c r="BW65" s="9747">
        <f>6*HLOOKUP("fsXG/90",A1:CV300,65,FALSE)+3*HLOOKUP("fsXA/90",A1:CV300,65,FALSE)</f>
      </c>
      <c r="BX65" t="n" s="9748">
        <v>0.04370180144906044</v>
      </c>
      <c r="BY65" t="n" s="9749">
        <v>0.0</v>
      </c>
      <c r="BZ65" s="9750">
        <f>6*HLOOKUP("uXG/90",A1:CV300,65,FALSE)+3*HLOOKUP("uXA/90",A1:CV300,65,FALSE)</f>
      </c>
    </row>
    <row r="66">
      <c r="A66" t="s" s="9751">
        <v>222</v>
      </c>
      <c r="B66" t="s" s="9752">
        <v>144</v>
      </c>
      <c r="C66" t="n" s="9753">
        <v>5.400000095367432</v>
      </c>
      <c r="D66" t="n" s="9754">
        <v>90.0</v>
      </c>
      <c r="E66" t="n" s="9755">
        <v>1.0</v>
      </c>
      <c r="F66" t="n" s="9756">
        <v>24.0</v>
      </c>
      <c r="G66" t="n" s="9757">
        <v>0.0</v>
      </c>
      <c r="H66" t="n" s="9758">
        <v>0.0</v>
      </c>
      <c r="I66" t="n" s="9759">
        <v>158.0</v>
      </c>
      <c r="J66" s="9760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9761">
        <v>0.0</v>
      </c>
      <c r="L66" t="n" s="9762">
        <v>2.0</v>
      </c>
      <c r="M66" t="n" s="9763">
        <v>0.0</v>
      </c>
      <c r="N66" t="n" s="9764">
        <v>0.0</v>
      </c>
      <c r="O66" t="n" s="9765">
        <v>0.0</v>
      </c>
      <c r="P66" s="9766">
        <f>IF(HLOOKUP("Shots",A1:CV300,66,FALSE)=0,0,HLOOKUP("SIB",A1:CV300,66,FALSE)/HLOOKUP("Shots",A1:CV300,66,FALSE))</f>
      </c>
      <c r="Q66" t="n" s="9767">
        <v>0.0</v>
      </c>
      <c r="R66" s="9768">
        <f>IF(HLOOKUP("Shots",A1:CV300,66,FALSE)=0,0,HLOOKUP("S6YD",A1:CV300,66,FALSE)/HLOOKUP("Shots",A1:CV300,66,FALSE))</f>
      </c>
      <c r="S66" t="n" s="9769">
        <v>0.0</v>
      </c>
      <c r="T66" s="9770">
        <f>IF(HLOOKUP("Shots",A1:CV300,66,FALSE)=0,0,HLOOKUP("Headers",A1:CV300,66,FALSE)/HLOOKUP("Shots",A1:CV300,66,FALSE))</f>
      </c>
      <c r="U66" t="n" s="9771">
        <v>0.0</v>
      </c>
      <c r="V66" s="9772">
        <f>IF(HLOOKUP("Shots",A1:CV300,66,FALSE)=0,0,HLOOKUP("SOT",A1:CV300,66,FALSE)/HLOOKUP("Shots",A1:CV300,66,FALSE))</f>
      </c>
      <c r="W66" s="9773">
        <f>IF(HLOOKUP("Shots",A1:CV300,66,FALSE)=0,0,HLOOKUP("Gs",A1:CV300,66,FALSE)/HLOOKUP("Shots",A1:CV300,66,FALSE))</f>
      </c>
      <c r="X66" t="n" s="9774">
        <v>0.0</v>
      </c>
      <c r="Y66" t="n" s="9775">
        <v>0.0</v>
      </c>
      <c r="Z66" t="n" s="9776">
        <v>0.0</v>
      </c>
      <c r="AA66" s="9777">
        <f>IF(HLOOKUP("KP",A1:CV300,66,FALSE)=0,0,HLOOKUP("As",A1:CV300,66,FALSE)/HLOOKUP("KP",A1:CV300,66,FALSE))</f>
      </c>
      <c r="AB66" t="n" s="9778">
        <v>1.3</v>
      </c>
      <c r="AC66" t="n" s="9779">
        <v>0.0</v>
      </c>
      <c r="AD66" t="n" s="9780">
        <v>0.0</v>
      </c>
      <c r="AE66" t="n" s="9781">
        <v>0.0</v>
      </c>
      <c r="AF66" t="n" s="9782">
        <v>0.0</v>
      </c>
      <c r="AG66" s="9783">
        <f>IF(HLOOKUP("BC",A1:CV300,66,FALSE)=0,0,HLOOKUP("Gs - BC",A1:CV300,66,FALSE)/HLOOKUP("BC",A1:CV300,66,FALSE))</f>
      </c>
      <c r="AH66" s="9784">
        <f>HLOOKUP("BC",A1:CV300,66,FALSE) - HLOOKUP("BC Miss",A1:CV300,66,FALSE)</f>
      </c>
      <c r="AI66" s="9785">
        <f>IF(HLOOKUP("Gs",A1:CV300,66,FALSE)=0,0,HLOOKUP("Gs - BC",A1:CV300,66,FALSE)/HLOOKUP("Gs",A1:CV300,66,FALSE))</f>
      </c>
      <c r="AJ66" t="n" s="9786">
        <v>0.0</v>
      </c>
      <c r="AK66" t="n" s="9787">
        <v>0.0</v>
      </c>
      <c r="AL66" s="9788">
        <f>HLOOKUP("BC",A1:CV300,66,FALSE) - (HLOOKUP("PK Gs",A1:CV300,66,FALSE) + HLOOKUP("PK Miss",A1:CV300,66,FALSE))</f>
      </c>
      <c r="AM66" s="9789">
        <f>HLOOKUP("BC Miss",A1:CV300,66,FALSE) - HLOOKUP("PK Miss",A1:CV300,66,FALSE)</f>
      </c>
      <c r="AN66" s="9790">
        <f>IF(HLOOKUP("BC - Open",A1:CV300,66,FALSE)=0,0,HLOOKUP("BC - Open Miss",A1:CV300,66,FALSE)/HLOOKUP("BC - Open",A1:CV300,66,FALSE))</f>
      </c>
      <c r="AO66" t="n" s="9791">
        <v>0.0</v>
      </c>
      <c r="AP66" s="9792">
        <f>IF(HLOOKUP("Gs",A1:CV300,66,FALSE)=0,0,HLOOKUP("GIB",A1:CV300,66,FALSE)/HLOOKUP("Gs",A1:CV300,66,FALSE))</f>
      </c>
      <c r="AQ66" t="n" s="9793">
        <v>0.0</v>
      </c>
      <c r="AR66" s="9794">
        <f>IF(HLOOKUP("Gs",A1:CV300,66,FALSE)=0,0,HLOOKUP("Gs - Open",A1:CV300,66,FALSE)/HLOOKUP("Gs",A1:CV300,66,FALSE))</f>
      </c>
      <c r="AS66" t="n" s="9795">
        <v>0.0</v>
      </c>
      <c r="AT66" t="n" s="9796">
        <v>0.01</v>
      </c>
      <c r="AU66" s="9797">
        <f>IF(HLOOKUP("Mins",A1:CV300,66,FALSE)=0,0,HLOOKUP("Pts",A1:CV300,66,FALSE)/HLOOKUP("Mins",A1:CV300,66,FALSE)* 90)</f>
      </c>
      <c r="AV66" s="9798">
        <f>IF(HLOOKUP("Apps",A1:CV300,66,FALSE)=0,0,HLOOKUP("Pts",A1:CV300,66,FALSE)/HLOOKUP("Apps",A1:CV300,66,FALSE)* 1)</f>
      </c>
      <c r="AW66" s="9799">
        <f>IF(HLOOKUP("Mins",A1:CV300,66,FALSE)=0,0,HLOOKUP("Gs",A1:CV300,66,FALSE)/HLOOKUP("Mins",A1:CV300,66,FALSE)* 90)</f>
      </c>
      <c r="AX66" s="9800">
        <f>IF(HLOOKUP("Mins",A1:CV300,66,FALSE)=0,0,HLOOKUP("Bonus",A1:CV300,66,FALSE)/HLOOKUP("Mins",A1:CV300,66,FALSE)* 90)</f>
      </c>
      <c r="AY66" s="9801">
        <f>IF(HLOOKUP("Mins",A1:CV300,66,FALSE)=0,0,HLOOKUP("BPS",A1:CV300,66,FALSE)/HLOOKUP("Mins",A1:CV300,66,FALSE)* 90)</f>
      </c>
      <c r="AZ66" s="9802">
        <f>IF(HLOOKUP("Mins",A1:CV300,66,FALSE)=0,0,HLOOKUP("Base BPS",A1:CV300,66,FALSE)/HLOOKUP("Mins",A1:CV300,66,FALSE)* 90)</f>
      </c>
      <c r="BA66" s="9803">
        <f>IF(HLOOKUP("Mins",A1:CV300,66,FALSE)=0,0,HLOOKUP("PenTchs",A1:CV300,66,FALSE)/HLOOKUP("Mins",A1:CV300,66,FALSE)* 90)</f>
      </c>
      <c r="BB66" s="9804">
        <f>IF(HLOOKUP("Mins",A1:CV300,66,FALSE)=0,0,HLOOKUP("Shots",A1:CV300,66,FALSE)/HLOOKUP("Mins",A1:CV300,66,FALSE)* 90)</f>
      </c>
      <c r="BC66" s="9805">
        <f>IF(HLOOKUP("Mins",A1:CV300,66,FALSE)=0,0,HLOOKUP("SIB",A1:CV300,66,FALSE)/HLOOKUP("Mins",A1:CV300,66,FALSE)* 90)</f>
      </c>
      <c r="BD66" s="9806">
        <f>IF(HLOOKUP("Mins",A1:CV300,66,FALSE)=0,0,HLOOKUP("S6YD",A1:CV300,66,FALSE)/HLOOKUP("Mins",A1:CV300,66,FALSE)* 90)</f>
      </c>
      <c r="BE66" s="9807">
        <f>IF(HLOOKUP("Mins",A1:CV300,66,FALSE)=0,0,HLOOKUP("Headers",A1:CV300,66,FALSE)/HLOOKUP("Mins",A1:CV300,66,FALSE)* 90)</f>
      </c>
      <c r="BF66" s="9808">
        <f>IF(HLOOKUP("Mins",A1:CV300,66,FALSE)=0,0,HLOOKUP("SOT",A1:CV300,66,FALSE)/HLOOKUP("Mins",A1:CV300,66,FALSE)* 90)</f>
      </c>
      <c r="BG66" s="9809">
        <f>IF(HLOOKUP("Mins",A1:CV300,66,FALSE)=0,0,HLOOKUP("As",A1:CV300,66,FALSE)/HLOOKUP("Mins",A1:CV300,66,FALSE)* 90)</f>
      </c>
      <c r="BH66" s="9810">
        <f>IF(HLOOKUP("Mins",A1:CV300,66,FALSE)=0,0,HLOOKUP("FPL As",A1:CV300,66,FALSE)/HLOOKUP("Mins",A1:CV300,66,FALSE)* 90)</f>
      </c>
      <c r="BI66" s="9811">
        <f>IF(HLOOKUP("Mins",A1:CV300,66,FALSE)=0,0,HLOOKUP("BC Created",A1:CV300,66,FALSE)/HLOOKUP("Mins",A1:CV300,66,FALSE)* 90)</f>
      </c>
      <c r="BJ66" s="9812">
        <f>IF(HLOOKUP("Mins",A1:CV300,66,FALSE)=0,0,HLOOKUP("KP",A1:CV300,66,FALSE)/HLOOKUP("Mins",A1:CV300,66,FALSE)* 90)</f>
      </c>
      <c r="BK66" s="9813">
        <f>IF(HLOOKUP("Mins",A1:CV300,66,FALSE)=0,0,HLOOKUP("BC",A1:CV300,66,FALSE)/HLOOKUP("Mins",A1:CV300,66,FALSE)* 90)</f>
      </c>
      <c r="BL66" s="9814">
        <f>IF(HLOOKUP("Mins",A1:CV300,66,FALSE)=0,0,HLOOKUP("BC Miss",A1:CV300,66,FALSE)/HLOOKUP("Mins",A1:CV300,66,FALSE)* 90)</f>
      </c>
      <c r="BM66" s="9815">
        <f>IF(HLOOKUP("Mins",A1:CV300,66,FALSE)=0,0,HLOOKUP("Gs - BC",A1:CV300,66,FALSE)/HLOOKUP("Mins",A1:CV300,66,FALSE)* 90)</f>
      </c>
      <c r="BN66" s="9816">
        <f>IF(HLOOKUP("Mins",A1:CV300,66,FALSE)=0,0,HLOOKUP("GIB",A1:CV300,66,FALSE)/HLOOKUP("Mins",A1:CV300,66,FALSE)* 90)</f>
      </c>
      <c r="BO66" s="9817">
        <f>IF(HLOOKUP("Mins",A1:CV300,66,FALSE)=0,0,HLOOKUP("Gs - Open",A1:CV300,66,FALSE)/HLOOKUP("Mins",A1:CV300,66,FALSE)* 90)</f>
      </c>
      <c r="BP66" s="9818">
        <f>IF(HLOOKUP("Mins",A1:CV300,66,FALSE)=0,0,HLOOKUP("ICT Index",A1:CV300,66,FALSE)/HLOOKUP("Mins",A1:CV300,66,FALSE)* 90)</f>
      </c>
      <c r="BQ66" s="9819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9820">
        <f>0.0825*HLOOKUP("KP/90",A1:CV300,66,FALSE)</f>
      </c>
      <c r="BS66" s="9821">
        <f>6*HLOOKUP("xG/90",A1:CV300,66,FALSE)+3*HLOOKUP("xA/90",A1:CV300,66,FALSE)</f>
      </c>
      <c r="BT66" s="9822">
        <f>HLOOKUP("xPts/90",A1:CV300,66,FALSE)-(6*0.75*(HLOOKUP("PK Gs",A1:CV300,66,FALSE)+HLOOKUP("PK Miss",A1:CV300,66,FALSE))*90/HLOOKUP("Mins",A1:CV300,66,FALSE))</f>
      </c>
      <c r="BU66" s="9823">
        <f>IF(HLOOKUP("Mins",A1:CV300,66,FALSE)=0,0,HLOOKUP("fsXG",A1:CV300,66,FALSE)/HLOOKUP("Mins",A1:CV300,66,FALSE)* 90)</f>
      </c>
      <c r="BV66" s="9824">
        <f>IF(HLOOKUP("Mins",A1:CV300,66,FALSE)=0,0,HLOOKUP("fsXA",A1:CV300,66,FALSE)/HLOOKUP("Mins",A1:CV300,66,FALSE)* 90)</f>
      </c>
      <c r="BW66" s="9825">
        <f>6*HLOOKUP("fsXG/90",A1:CV300,66,FALSE)+3*HLOOKUP("fsXA/90",A1:CV300,66,FALSE)</f>
      </c>
      <c r="BX66" t="n" s="9826">
        <v>0.0</v>
      </c>
      <c r="BY66" t="n" s="9827">
        <v>0.0</v>
      </c>
      <c r="BZ66" s="9828">
        <f>6*HLOOKUP("uXG/90",A1:CV300,66,FALSE)+3*HLOOKUP("uXA/90",A1:CV300,66,FALSE)</f>
      </c>
    </row>
    <row r="67">
      <c r="A67" t="s" s="9829">
        <v>223</v>
      </c>
      <c r="B67" t="s" s="9830">
        <v>114</v>
      </c>
      <c r="C67" t="n" s="9831">
        <v>4.400000095367432</v>
      </c>
      <c r="D67" t="n" s="9832">
        <v>540.0</v>
      </c>
      <c r="E67" t="n" s="9833">
        <v>6.0</v>
      </c>
      <c r="F67" t="n" s="9834">
        <v>40.0</v>
      </c>
      <c r="G67" t="n" s="9835">
        <v>0.0</v>
      </c>
      <c r="H67" t="n" s="9836">
        <v>2.0</v>
      </c>
      <c r="I67" t="n" s="9837">
        <v>230.0</v>
      </c>
      <c r="J67" s="9838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9839">
        <v>0.0</v>
      </c>
      <c r="L67" t="n" s="9840">
        <v>3.0</v>
      </c>
      <c r="M67" t="n" s="9841">
        <v>7.0</v>
      </c>
      <c r="N67" t="n" s="9842">
        <v>4.0</v>
      </c>
      <c r="O67" t="n" s="9843">
        <v>2.0</v>
      </c>
      <c r="P67" s="9844">
        <f>IF(HLOOKUP("Shots",A1:CV300,67,FALSE)=0,0,HLOOKUP("SIB",A1:CV300,67,FALSE)/HLOOKUP("Shots",A1:CV300,67,FALSE))</f>
      </c>
      <c r="Q67" t="n" s="9845">
        <v>1.0</v>
      </c>
      <c r="R67" s="9846">
        <f>IF(HLOOKUP("Shots",A1:CV300,67,FALSE)=0,0,HLOOKUP("S6YD",A1:CV300,67,FALSE)/HLOOKUP("Shots",A1:CV300,67,FALSE))</f>
      </c>
      <c r="S67" t="n" s="9847">
        <v>0.0</v>
      </c>
      <c r="T67" s="9848">
        <f>IF(HLOOKUP("Shots",A1:CV300,67,FALSE)=0,0,HLOOKUP("Headers",A1:CV300,67,FALSE)/HLOOKUP("Shots",A1:CV300,67,FALSE))</f>
      </c>
      <c r="U67" t="n" s="9849">
        <v>3.0</v>
      </c>
      <c r="V67" s="9850">
        <f>IF(HLOOKUP("Shots",A1:CV300,67,FALSE)=0,0,HLOOKUP("SOT",A1:CV300,67,FALSE)/HLOOKUP("Shots",A1:CV300,67,FALSE))</f>
      </c>
      <c r="W67" s="9851">
        <f>IF(HLOOKUP("Shots",A1:CV300,67,FALSE)=0,0,HLOOKUP("Gs",A1:CV300,67,FALSE)/HLOOKUP("Shots",A1:CV300,67,FALSE))</f>
      </c>
      <c r="X67" t="n" s="9852">
        <v>0.0</v>
      </c>
      <c r="Y67" t="n" s="9853">
        <v>2.0</v>
      </c>
      <c r="Z67" t="n" s="9854">
        <v>0.0</v>
      </c>
      <c r="AA67" s="9855">
        <f>IF(HLOOKUP("KP",A1:CV300,67,FALSE)=0,0,HLOOKUP("As",A1:CV300,67,FALSE)/HLOOKUP("KP",A1:CV300,67,FALSE))</f>
      </c>
      <c r="AB67" t="n" s="9856">
        <v>17.7</v>
      </c>
      <c r="AC67" t="n" s="9857">
        <v>0.0</v>
      </c>
      <c r="AD67" t="n" s="9858">
        <v>0.0</v>
      </c>
      <c r="AE67" t="n" s="9859">
        <v>1.0</v>
      </c>
      <c r="AF67" t="n" s="9860">
        <v>1.0</v>
      </c>
      <c r="AG67" s="9861">
        <f>IF(HLOOKUP("BC",A1:CV300,67,FALSE)=0,0,HLOOKUP("Gs - BC",A1:CV300,67,FALSE)/HLOOKUP("BC",A1:CV300,67,FALSE))</f>
      </c>
      <c r="AH67" s="9862">
        <f>HLOOKUP("BC",A1:CV300,67,FALSE) - HLOOKUP("BC Miss",A1:CV300,67,FALSE)</f>
      </c>
      <c r="AI67" s="9863">
        <f>IF(HLOOKUP("Gs",A1:CV300,67,FALSE)=0,0,HLOOKUP("Gs - BC",A1:CV300,67,FALSE)/HLOOKUP("Gs",A1:CV300,67,FALSE))</f>
      </c>
      <c r="AJ67" t="n" s="9864">
        <v>0.0</v>
      </c>
      <c r="AK67" t="n" s="9865">
        <v>0.0</v>
      </c>
      <c r="AL67" s="9866">
        <f>HLOOKUP("BC",A1:CV300,67,FALSE) - (HLOOKUP("PK Gs",A1:CV300,67,FALSE) + HLOOKUP("PK Miss",A1:CV300,67,FALSE))</f>
      </c>
      <c r="AM67" s="9867">
        <f>HLOOKUP("BC Miss",A1:CV300,67,FALSE) - HLOOKUP("PK Miss",A1:CV300,67,FALSE)</f>
      </c>
      <c r="AN67" s="9868">
        <f>IF(HLOOKUP("BC - Open",A1:CV300,67,FALSE)=0,0,HLOOKUP("BC - Open Miss",A1:CV300,67,FALSE)/HLOOKUP("BC - Open",A1:CV300,67,FALSE))</f>
      </c>
      <c r="AO67" t="n" s="9869">
        <v>0.0</v>
      </c>
      <c r="AP67" s="9870">
        <f>IF(HLOOKUP("Gs",A1:CV300,67,FALSE)=0,0,HLOOKUP("GIB",A1:CV300,67,FALSE)/HLOOKUP("Gs",A1:CV300,67,FALSE))</f>
      </c>
      <c r="AQ67" t="n" s="9871">
        <v>0.0</v>
      </c>
      <c r="AR67" s="9872">
        <f>IF(HLOOKUP("Gs",A1:CV300,67,FALSE)=0,0,HLOOKUP("Gs - Open",A1:CV300,67,FALSE)/HLOOKUP("Gs",A1:CV300,67,FALSE))</f>
      </c>
      <c r="AS67" t="n" s="9873">
        <v>0.49</v>
      </c>
      <c r="AT67" t="n" s="9874">
        <v>0.22</v>
      </c>
      <c r="AU67" s="9875">
        <f>IF(HLOOKUP("Mins",A1:CV300,67,FALSE)=0,0,HLOOKUP("Pts",A1:CV300,67,FALSE)/HLOOKUP("Mins",A1:CV300,67,FALSE)* 90)</f>
      </c>
      <c r="AV67" s="9876">
        <f>IF(HLOOKUP("Apps",A1:CV300,67,FALSE)=0,0,HLOOKUP("Pts",A1:CV300,67,FALSE)/HLOOKUP("Apps",A1:CV300,67,FALSE)* 1)</f>
      </c>
      <c r="AW67" s="9877">
        <f>IF(HLOOKUP("Mins",A1:CV300,67,FALSE)=0,0,HLOOKUP("Gs",A1:CV300,67,FALSE)/HLOOKUP("Mins",A1:CV300,67,FALSE)* 90)</f>
      </c>
      <c r="AX67" s="9878">
        <f>IF(HLOOKUP("Mins",A1:CV300,67,FALSE)=0,0,HLOOKUP("Bonus",A1:CV300,67,FALSE)/HLOOKUP("Mins",A1:CV300,67,FALSE)* 90)</f>
      </c>
      <c r="AY67" s="9879">
        <f>IF(HLOOKUP("Mins",A1:CV300,67,FALSE)=0,0,HLOOKUP("BPS",A1:CV300,67,FALSE)/HLOOKUP("Mins",A1:CV300,67,FALSE)* 90)</f>
      </c>
      <c r="AZ67" s="9880">
        <f>IF(HLOOKUP("Mins",A1:CV300,67,FALSE)=0,0,HLOOKUP("Base BPS",A1:CV300,67,FALSE)/HLOOKUP("Mins",A1:CV300,67,FALSE)* 90)</f>
      </c>
      <c r="BA67" s="9881">
        <f>IF(HLOOKUP("Mins",A1:CV300,67,FALSE)=0,0,HLOOKUP("PenTchs",A1:CV300,67,FALSE)/HLOOKUP("Mins",A1:CV300,67,FALSE)* 90)</f>
      </c>
      <c r="BB67" s="9882">
        <f>IF(HLOOKUP("Mins",A1:CV300,67,FALSE)=0,0,HLOOKUP("Shots",A1:CV300,67,FALSE)/HLOOKUP("Mins",A1:CV300,67,FALSE)* 90)</f>
      </c>
      <c r="BC67" s="9883">
        <f>IF(HLOOKUP("Mins",A1:CV300,67,FALSE)=0,0,HLOOKUP("SIB",A1:CV300,67,FALSE)/HLOOKUP("Mins",A1:CV300,67,FALSE)* 90)</f>
      </c>
      <c r="BD67" s="9884">
        <f>IF(HLOOKUP("Mins",A1:CV300,67,FALSE)=0,0,HLOOKUP("S6YD",A1:CV300,67,FALSE)/HLOOKUP("Mins",A1:CV300,67,FALSE)* 90)</f>
      </c>
      <c r="BE67" s="9885">
        <f>IF(HLOOKUP("Mins",A1:CV300,67,FALSE)=0,0,HLOOKUP("Headers",A1:CV300,67,FALSE)/HLOOKUP("Mins",A1:CV300,67,FALSE)* 90)</f>
      </c>
      <c r="BF67" s="9886">
        <f>IF(HLOOKUP("Mins",A1:CV300,67,FALSE)=0,0,HLOOKUP("SOT",A1:CV300,67,FALSE)/HLOOKUP("Mins",A1:CV300,67,FALSE)* 90)</f>
      </c>
      <c r="BG67" s="9887">
        <f>IF(HLOOKUP("Mins",A1:CV300,67,FALSE)=0,0,HLOOKUP("As",A1:CV300,67,FALSE)/HLOOKUP("Mins",A1:CV300,67,FALSE)* 90)</f>
      </c>
      <c r="BH67" s="9888">
        <f>IF(HLOOKUP("Mins",A1:CV300,67,FALSE)=0,0,HLOOKUP("FPL As",A1:CV300,67,FALSE)/HLOOKUP("Mins",A1:CV300,67,FALSE)* 90)</f>
      </c>
      <c r="BI67" s="9889">
        <f>IF(HLOOKUP("Mins",A1:CV300,67,FALSE)=0,0,HLOOKUP("BC Created",A1:CV300,67,FALSE)/HLOOKUP("Mins",A1:CV300,67,FALSE)* 90)</f>
      </c>
      <c r="BJ67" s="9890">
        <f>IF(HLOOKUP("Mins",A1:CV300,67,FALSE)=0,0,HLOOKUP("KP",A1:CV300,67,FALSE)/HLOOKUP("Mins",A1:CV300,67,FALSE)* 90)</f>
      </c>
      <c r="BK67" s="9891">
        <f>IF(HLOOKUP("Mins",A1:CV300,67,FALSE)=0,0,HLOOKUP("BC",A1:CV300,67,FALSE)/HLOOKUP("Mins",A1:CV300,67,FALSE)* 90)</f>
      </c>
      <c r="BL67" s="9892">
        <f>IF(HLOOKUP("Mins",A1:CV300,67,FALSE)=0,0,HLOOKUP("BC Miss",A1:CV300,67,FALSE)/HLOOKUP("Mins",A1:CV300,67,FALSE)* 90)</f>
      </c>
      <c r="BM67" s="9893">
        <f>IF(HLOOKUP("Mins",A1:CV300,67,FALSE)=0,0,HLOOKUP("Gs - BC",A1:CV300,67,FALSE)/HLOOKUP("Mins",A1:CV300,67,FALSE)* 90)</f>
      </c>
      <c r="BN67" s="9894">
        <f>IF(HLOOKUP("Mins",A1:CV300,67,FALSE)=0,0,HLOOKUP("GIB",A1:CV300,67,FALSE)/HLOOKUP("Mins",A1:CV300,67,FALSE)* 90)</f>
      </c>
      <c r="BO67" s="9895">
        <f>IF(HLOOKUP("Mins",A1:CV300,67,FALSE)=0,0,HLOOKUP("Gs - Open",A1:CV300,67,FALSE)/HLOOKUP("Mins",A1:CV300,67,FALSE)* 90)</f>
      </c>
      <c r="BP67" s="9896">
        <f>IF(HLOOKUP("Mins",A1:CV300,67,FALSE)=0,0,HLOOKUP("ICT Index",A1:CV300,67,FALSE)/HLOOKUP("Mins",A1:CV300,67,FALSE)* 90)</f>
      </c>
      <c r="BQ67" s="9897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9898">
        <f>0.0825*HLOOKUP("KP/90",A1:CV300,67,FALSE)</f>
      </c>
      <c r="BS67" s="9899">
        <f>6*HLOOKUP("xG/90",A1:CV300,67,FALSE)+3*HLOOKUP("xA/90",A1:CV300,67,FALSE)</f>
      </c>
      <c r="BT67" s="9900">
        <f>HLOOKUP("xPts/90",A1:CV300,67,FALSE)-(6*0.75*(HLOOKUP("PK Gs",A1:CV300,67,FALSE)+HLOOKUP("PK Miss",A1:CV300,67,FALSE))*90/HLOOKUP("Mins",A1:CV300,67,FALSE))</f>
      </c>
      <c r="BU67" s="9901">
        <f>IF(HLOOKUP("Mins",A1:CV300,67,FALSE)=0,0,HLOOKUP("fsXG",A1:CV300,67,FALSE)/HLOOKUP("Mins",A1:CV300,67,FALSE)* 90)</f>
      </c>
      <c r="BV67" s="9902">
        <f>IF(HLOOKUP("Mins",A1:CV300,67,FALSE)=0,0,HLOOKUP("fsXA",A1:CV300,67,FALSE)/HLOOKUP("Mins",A1:CV300,67,FALSE)* 90)</f>
      </c>
      <c r="BW67" s="9903">
        <f>6*HLOOKUP("fsXG/90",A1:CV300,67,FALSE)+3*HLOOKUP("fsXA/90",A1:CV300,67,FALSE)</f>
      </c>
      <c r="BX67" t="n" s="9904">
        <v>0.11558040976524353</v>
      </c>
      <c r="BY67" t="n" s="9905">
        <v>0.0</v>
      </c>
      <c r="BZ67" s="9906">
        <f>6*HLOOKUP("uXG/90",A1:CV300,67,FALSE)+3*HLOOKUP("uXA/90",A1:CV300,67,FALSE)</f>
      </c>
    </row>
    <row r="68">
      <c r="A68" t="s" s="9907">
        <v>224</v>
      </c>
      <c r="B68" t="s" s="9908">
        <v>109</v>
      </c>
      <c r="C68" t="n" s="9909">
        <v>4.300000190734863</v>
      </c>
      <c r="D68" t="n" s="9910">
        <v>235.0</v>
      </c>
      <c r="E68" t="n" s="9911">
        <v>4.0</v>
      </c>
      <c r="F68" t="n" s="9912">
        <v>14.0</v>
      </c>
      <c r="G68" t="n" s="9913">
        <v>0.0</v>
      </c>
      <c r="H68" t="n" s="9914">
        <v>2.0</v>
      </c>
      <c r="I68" t="n" s="9915">
        <v>70.0</v>
      </c>
      <c r="J68" s="9916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9917">
        <v>0.0</v>
      </c>
      <c r="L68" t="n" s="9918">
        <v>1.0</v>
      </c>
      <c r="M68" t="n" s="9919">
        <v>5.0</v>
      </c>
      <c r="N68" t="n" s="9920">
        <v>1.0</v>
      </c>
      <c r="O68" t="n" s="9921">
        <v>1.0</v>
      </c>
      <c r="P68" s="9922">
        <f>IF(HLOOKUP("Shots",A1:CV300,68,FALSE)=0,0,HLOOKUP("SIB",A1:CV300,68,FALSE)/HLOOKUP("Shots",A1:CV300,68,FALSE))</f>
      </c>
      <c r="Q68" t="n" s="9923">
        <v>0.0</v>
      </c>
      <c r="R68" s="9924">
        <f>IF(HLOOKUP("Shots",A1:CV300,68,FALSE)=0,0,HLOOKUP("S6YD",A1:CV300,68,FALSE)/HLOOKUP("Shots",A1:CV300,68,FALSE))</f>
      </c>
      <c r="S68" t="n" s="9925">
        <v>1.0</v>
      </c>
      <c r="T68" s="9926">
        <f>IF(HLOOKUP("Shots",A1:CV300,68,FALSE)=0,0,HLOOKUP("Headers",A1:CV300,68,FALSE)/HLOOKUP("Shots",A1:CV300,68,FALSE))</f>
      </c>
      <c r="U68" t="n" s="9927">
        <v>1.0</v>
      </c>
      <c r="V68" s="9928">
        <f>IF(HLOOKUP("Shots",A1:CV300,68,FALSE)=0,0,HLOOKUP("SOT",A1:CV300,68,FALSE)/HLOOKUP("Shots",A1:CV300,68,FALSE))</f>
      </c>
      <c r="W68" s="9929">
        <f>IF(HLOOKUP("Shots",A1:CV300,68,FALSE)=0,0,HLOOKUP("Gs",A1:CV300,68,FALSE)/HLOOKUP("Shots",A1:CV300,68,FALSE))</f>
      </c>
      <c r="X68" t="n" s="9930">
        <v>0.0</v>
      </c>
      <c r="Y68" t="n" s="9931">
        <v>0.0</v>
      </c>
      <c r="Z68" t="n" s="9932">
        <v>1.0</v>
      </c>
      <c r="AA68" s="9933">
        <f>IF(HLOOKUP("KP",A1:CV300,68,FALSE)=0,0,HLOOKUP("As",A1:CV300,68,FALSE)/HLOOKUP("KP",A1:CV300,68,FALSE))</f>
      </c>
      <c r="AB68" t="n" s="9934">
        <v>10.2</v>
      </c>
      <c r="AC68" t="n" s="9935">
        <v>0.0</v>
      </c>
      <c r="AD68" t="n" s="9936">
        <v>1.0</v>
      </c>
      <c r="AE68" t="n" s="9937">
        <v>0.0</v>
      </c>
      <c r="AF68" t="n" s="9938">
        <v>0.0</v>
      </c>
      <c r="AG68" s="9939">
        <f>IF(HLOOKUP("BC",A1:CV300,68,FALSE)=0,0,HLOOKUP("Gs - BC",A1:CV300,68,FALSE)/HLOOKUP("BC",A1:CV300,68,FALSE))</f>
      </c>
      <c r="AH68" s="9940">
        <f>HLOOKUP("BC",A1:CV300,68,FALSE) - HLOOKUP("BC Miss",A1:CV300,68,FALSE)</f>
      </c>
      <c r="AI68" s="9941">
        <f>IF(HLOOKUP("Gs",A1:CV300,68,FALSE)=0,0,HLOOKUP("Gs - BC",A1:CV300,68,FALSE)/HLOOKUP("Gs",A1:CV300,68,FALSE))</f>
      </c>
      <c r="AJ68" t="n" s="9942">
        <v>0.0</v>
      </c>
      <c r="AK68" t="n" s="9943">
        <v>0.0</v>
      </c>
      <c r="AL68" s="9944">
        <f>HLOOKUP("BC",A1:CV300,68,FALSE) - (HLOOKUP("PK Gs",A1:CV300,68,FALSE) + HLOOKUP("PK Miss",A1:CV300,68,FALSE))</f>
      </c>
      <c r="AM68" s="9945">
        <f>HLOOKUP("BC Miss",A1:CV300,68,FALSE) - HLOOKUP("PK Miss",A1:CV300,68,FALSE)</f>
      </c>
      <c r="AN68" s="9946">
        <f>IF(HLOOKUP("BC - Open",A1:CV300,68,FALSE)=0,0,HLOOKUP("BC - Open Miss",A1:CV300,68,FALSE)/HLOOKUP("BC - Open",A1:CV300,68,FALSE))</f>
      </c>
      <c r="AO68" t="n" s="9947">
        <v>0.0</v>
      </c>
      <c r="AP68" s="9948">
        <f>IF(HLOOKUP("Gs",A1:CV300,68,FALSE)=0,0,HLOOKUP("GIB",A1:CV300,68,FALSE)/HLOOKUP("Gs",A1:CV300,68,FALSE))</f>
      </c>
      <c r="AQ68" t="n" s="9949">
        <v>0.0</v>
      </c>
      <c r="AR68" s="9950">
        <f>IF(HLOOKUP("Gs",A1:CV300,68,FALSE)=0,0,HLOOKUP("Gs - Open",A1:CV300,68,FALSE)/HLOOKUP("Gs",A1:CV300,68,FALSE))</f>
      </c>
      <c r="AS68" t="n" s="9951">
        <v>0.05</v>
      </c>
      <c r="AT68" t="n" s="9952">
        <v>0.16</v>
      </c>
      <c r="AU68" s="9953">
        <f>IF(HLOOKUP("Mins",A1:CV300,68,FALSE)=0,0,HLOOKUP("Pts",A1:CV300,68,FALSE)/HLOOKUP("Mins",A1:CV300,68,FALSE)* 90)</f>
      </c>
      <c r="AV68" s="9954">
        <f>IF(HLOOKUP("Apps",A1:CV300,68,FALSE)=0,0,HLOOKUP("Pts",A1:CV300,68,FALSE)/HLOOKUP("Apps",A1:CV300,68,FALSE)* 1)</f>
      </c>
      <c r="AW68" s="9955">
        <f>IF(HLOOKUP("Mins",A1:CV300,68,FALSE)=0,0,HLOOKUP("Gs",A1:CV300,68,FALSE)/HLOOKUP("Mins",A1:CV300,68,FALSE)* 90)</f>
      </c>
      <c r="AX68" s="9956">
        <f>IF(HLOOKUP("Mins",A1:CV300,68,FALSE)=0,0,HLOOKUP("Bonus",A1:CV300,68,FALSE)/HLOOKUP("Mins",A1:CV300,68,FALSE)* 90)</f>
      </c>
      <c r="AY68" s="9957">
        <f>IF(HLOOKUP("Mins",A1:CV300,68,FALSE)=0,0,HLOOKUP("BPS",A1:CV300,68,FALSE)/HLOOKUP("Mins",A1:CV300,68,FALSE)* 90)</f>
      </c>
      <c r="AZ68" s="9958">
        <f>IF(HLOOKUP("Mins",A1:CV300,68,FALSE)=0,0,HLOOKUP("Base BPS",A1:CV300,68,FALSE)/HLOOKUP("Mins",A1:CV300,68,FALSE)* 90)</f>
      </c>
      <c r="BA68" s="9959">
        <f>IF(HLOOKUP("Mins",A1:CV300,68,FALSE)=0,0,HLOOKUP("PenTchs",A1:CV300,68,FALSE)/HLOOKUP("Mins",A1:CV300,68,FALSE)* 90)</f>
      </c>
      <c r="BB68" s="9960">
        <f>IF(HLOOKUP("Mins",A1:CV300,68,FALSE)=0,0,HLOOKUP("Shots",A1:CV300,68,FALSE)/HLOOKUP("Mins",A1:CV300,68,FALSE)* 90)</f>
      </c>
      <c r="BC68" s="9961">
        <f>IF(HLOOKUP("Mins",A1:CV300,68,FALSE)=0,0,HLOOKUP("SIB",A1:CV300,68,FALSE)/HLOOKUP("Mins",A1:CV300,68,FALSE)* 90)</f>
      </c>
      <c r="BD68" s="9962">
        <f>IF(HLOOKUP("Mins",A1:CV300,68,FALSE)=0,0,HLOOKUP("S6YD",A1:CV300,68,FALSE)/HLOOKUP("Mins",A1:CV300,68,FALSE)* 90)</f>
      </c>
      <c r="BE68" s="9963">
        <f>IF(HLOOKUP("Mins",A1:CV300,68,FALSE)=0,0,HLOOKUP("Headers",A1:CV300,68,FALSE)/HLOOKUP("Mins",A1:CV300,68,FALSE)* 90)</f>
      </c>
      <c r="BF68" s="9964">
        <f>IF(HLOOKUP("Mins",A1:CV300,68,FALSE)=0,0,HLOOKUP("SOT",A1:CV300,68,FALSE)/HLOOKUP("Mins",A1:CV300,68,FALSE)* 90)</f>
      </c>
      <c r="BG68" s="9965">
        <f>IF(HLOOKUP("Mins",A1:CV300,68,FALSE)=0,0,HLOOKUP("As",A1:CV300,68,FALSE)/HLOOKUP("Mins",A1:CV300,68,FALSE)* 90)</f>
      </c>
      <c r="BH68" s="9966">
        <f>IF(HLOOKUP("Mins",A1:CV300,68,FALSE)=0,0,HLOOKUP("FPL As",A1:CV300,68,FALSE)/HLOOKUP("Mins",A1:CV300,68,FALSE)* 90)</f>
      </c>
      <c r="BI68" s="9967">
        <f>IF(HLOOKUP("Mins",A1:CV300,68,FALSE)=0,0,HLOOKUP("BC Created",A1:CV300,68,FALSE)/HLOOKUP("Mins",A1:CV300,68,FALSE)* 90)</f>
      </c>
      <c r="BJ68" s="9968">
        <f>IF(HLOOKUP("Mins",A1:CV300,68,FALSE)=0,0,HLOOKUP("KP",A1:CV300,68,FALSE)/HLOOKUP("Mins",A1:CV300,68,FALSE)* 90)</f>
      </c>
      <c r="BK68" s="9969">
        <f>IF(HLOOKUP("Mins",A1:CV300,68,FALSE)=0,0,HLOOKUP("BC",A1:CV300,68,FALSE)/HLOOKUP("Mins",A1:CV300,68,FALSE)* 90)</f>
      </c>
      <c r="BL68" s="9970">
        <f>IF(HLOOKUP("Mins",A1:CV300,68,FALSE)=0,0,HLOOKUP("BC Miss",A1:CV300,68,FALSE)/HLOOKUP("Mins",A1:CV300,68,FALSE)* 90)</f>
      </c>
      <c r="BM68" s="9971">
        <f>IF(HLOOKUP("Mins",A1:CV300,68,FALSE)=0,0,HLOOKUP("Gs - BC",A1:CV300,68,FALSE)/HLOOKUP("Mins",A1:CV300,68,FALSE)* 90)</f>
      </c>
      <c r="BN68" s="9972">
        <f>IF(HLOOKUP("Mins",A1:CV300,68,FALSE)=0,0,HLOOKUP("GIB",A1:CV300,68,FALSE)/HLOOKUP("Mins",A1:CV300,68,FALSE)* 90)</f>
      </c>
      <c r="BO68" s="9973">
        <f>IF(HLOOKUP("Mins",A1:CV300,68,FALSE)=0,0,HLOOKUP("Gs - Open",A1:CV300,68,FALSE)/HLOOKUP("Mins",A1:CV300,68,FALSE)* 90)</f>
      </c>
      <c r="BP68" s="9974">
        <f>IF(HLOOKUP("Mins",A1:CV300,68,FALSE)=0,0,HLOOKUP("ICT Index",A1:CV300,68,FALSE)/HLOOKUP("Mins",A1:CV300,68,FALSE)* 90)</f>
      </c>
      <c r="BQ68" s="9975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9976">
        <f>0.0825*HLOOKUP("KP/90",A1:CV300,68,FALSE)</f>
      </c>
      <c r="BS68" s="9977">
        <f>6*HLOOKUP("xG/90",A1:CV300,68,FALSE)+3*HLOOKUP("xA/90",A1:CV300,68,FALSE)</f>
      </c>
      <c r="BT68" s="9978">
        <f>HLOOKUP("xPts/90",A1:CV300,68,FALSE)-(6*0.75*(HLOOKUP("PK Gs",A1:CV300,68,FALSE)+HLOOKUP("PK Miss",A1:CV300,68,FALSE))*90/HLOOKUP("Mins",A1:CV300,68,FALSE))</f>
      </c>
      <c r="BU68" s="9979">
        <f>IF(HLOOKUP("Mins",A1:CV300,68,FALSE)=0,0,HLOOKUP("fsXG",A1:CV300,68,FALSE)/HLOOKUP("Mins",A1:CV300,68,FALSE)* 90)</f>
      </c>
      <c r="BV68" s="9980">
        <f>IF(HLOOKUP("Mins",A1:CV300,68,FALSE)=0,0,HLOOKUP("fsXA",A1:CV300,68,FALSE)/HLOOKUP("Mins",A1:CV300,68,FALSE)* 90)</f>
      </c>
      <c r="BW68" s="9981">
        <f>6*HLOOKUP("fsXG/90",A1:CV300,68,FALSE)+3*HLOOKUP("fsXA/90",A1:CV300,68,FALSE)</f>
      </c>
      <c r="BX68" t="n" s="9982">
        <v>0.005205150693655014</v>
      </c>
      <c r="BY68" t="n" s="9983">
        <v>0.11993163079023361</v>
      </c>
      <c r="BZ68" s="9984">
        <f>6*HLOOKUP("uXG/90",A1:CV300,68,FALSE)+3*HLOOKUP("uXA/90",A1:CV300,68,FALSE)</f>
      </c>
    </row>
    <row r="69">
      <c r="A69" t="s" s="9985">
        <v>225</v>
      </c>
      <c r="B69" t="s" s="9986">
        <v>87</v>
      </c>
      <c r="C69" t="n" s="9987">
        <v>4.300000190734863</v>
      </c>
      <c r="D69" t="n" s="9988">
        <v>180.0</v>
      </c>
      <c r="E69" t="n" s="9989">
        <v>2.0</v>
      </c>
      <c r="F69" t="n" s="9990">
        <v>17.0</v>
      </c>
      <c r="G69" t="n" s="9991">
        <v>0.0</v>
      </c>
      <c r="H69" t="n" s="9992">
        <v>0.0</v>
      </c>
      <c r="I69" t="n" s="9993">
        <v>113.0</v>
      </c>
      <c r="J69" s="9994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9995">
        <v>0.0</v>
      </c>
      <c r="L69" t="n" s="9996">
        <v>2.0</v>
      </c>
      <c r="M69" t="n" s="9997">
        <v>0.0</v>
      </c>
      <c r="N69" t="n" s="9998">
        <v>0.0</v>
      </c>
      <c r="O69" t="n" s="9999">
        <v>0.0</v>
      </c>
      <c r="P69" s="10000">
        <f>IF(HLOOKUP("Shots",A1:CV300,69,FALSE)=0,0,HLOOKUP("SIB",A1:CV300,69,FALSE)/HLOOKUP("Shots",A1:CV300,69,FALSE))</f>
      </c>
      <c r="Q69" t="n" s="10001">
        <v>0.0</v>
      </c>
      <c r="R69" s="10002">
        <f>IF(HLOOKUP("Shots",A1:CV300,69,FALSE)=0,0,HLOOKUP("S6YD",A1:CV300,69,FALSE)/HLOOKUP("Shots",A1:CV300,69,FALSE))</f>
      </c>
      <c r="S69" t="n" s="10003">
        <v>0.0</v>
      </c>
      <c r="T69" s="10004">
        <f>IF(HLOOKUP("Shots",A1:CV300,69,FALSE)=0,0,HLOOKUP("Headers",A1:CV300,69,FALSE)/HLOOKUP("Shots",A1:CV300,69,FALSE))</f>
      </c>
      <c r="U69" t="n" s="10005">
        <v>0.0</v>
      </c>
      <c r="V69" s="10006">
        <f>IF(HLOOKUP("Shots",A1:CV300,69,FALSE)=0,0,HLOOKUP("SOT",A1:CV300,69,FALSE)/HLOOKUP("Shots",A1:CV300,69,FALSE))</f>
      </c>
      <c r="W69" s="10007">
        <f>IF(HLOOKUP("Shots",A1:CV300,69,FALSE)=0,0,HLOOKUP("Gs",A1:CV300,69,FALSE)/HLOOKUP("Shots",A1:CV300,69,FALSE))</f>
      </c>
      <c r="X69" t="n" s="10008">
        <v>0.0</v>
      </c>
      <c r="Y69" t="n" s="10009">
        <v>0.0</v>
      </c>
      <c r="Z69" t="n" s="10010">
        <v>0.0</v>
      </c>
      <c r="AA69" s="10011">
        <f>IF(HLOOKUP("KP",A1:CV300,69,FALSE)=0,0,HLOOKUP("As",A1:CV300,69,FALSE)/HLOOKUP("KP",A1:CV300,69,FALSE))</f>
      </c>
      <c r="AB69" t="n" s="10012">
        <v>1.9</v>
      </c>
      <c r="AC69" t="n" s="10013">
        <v>0.0</v>
      </c>
      <c r="AD69" t="n" s="10014">
        <v>0.0</v>
      </c>
      <c r="AE69" t="n" s="10015">
        <v>0.0</v>
      </c>
      <c r="AF69" t="n" s="10016">
        <v>0.0</v>
      </c>
      <c r="AG69" s="10017">
        <f>IF(HLOOKUP("BC",A1:CV300,69,FALSE)=0,0,HLOOKUP("Gs - BC",A1:CV300,69,FALSE)/HLOOKUP("BC",A1:CV300,69,FALSE))</f>
      </c>
      <c r="AH69" s="10018">
        <f>HLOOKUP("BC",A1:CV300,69,FALSE) - HLOOKUP("BC Miss",A1:CV300,69,FALSE)</f>
      </c>
      <c r="AI69" s="10019">
        <f>IF(HLOOKUP("Gs",A1:CV300,69,FALSE)=0,0,HLOOKUP("Gs - BC",A1:CV300,69,FALSE)/HLOOKUP("Gs",A1:CV300,69,FALSE))</f>
      </c>
      <c r="AJ69" t="n" s="10020">
        <v>0.0</v>
      </c>
      <c r="AK69" t="n" s="10021">
        <v>0.0</v>
      </c>
      <c r="AL69" s="10022">
        <f>HLOOKUP("BC",A1:CV300,69,FALSE) - (HLOOKUP("PK Gs",A1:CV300,69,FALSE) + HLOOKUP("PK Miss",A1:CV300,69,FALSE))</f>
      </c>
      <c r="AM69" s="10023">
        <f>HLOOKUP("BC Miss",A1:CV300,69,FALSE) - HLOOKUP("PK Miss",A1:CV300,69,FALSE)</f>
      </c>
      <c r="AN69" s="10024">
        <f>IF(HLOOKUP("BC - Open",A1:CV300,69,FALSE)=0,0,HLOOKUP("BC - Open Miss",A1:CV300,69,FALSE)/HLOOKUP("BC - Open",A1:CV300,69,FALSE))</f>
      </c>
      <c r="AO69" t="n" s="10025">
        <v>0.0</v>
      </c>
      <c r="AP69" s="10026">
        <f>IF(HLOOKUP("Gs",A1:CV300,69,FALSE)=0,0,HLOOKUP("GIB",A1:CV300,69,FALSE)/HLOOKUP("Gs",A1:CV300,69,FALSE))</f>
      </c>
      <c r="AQ69" t="n" s="10027">
        <v>0.0</v>
      </c>
      <c r="AR69" s="10028">
        <f>IF(HLOOKUP("Gs",A1:CV300,69,FALSE)=0,0,HLOOKUP("Gs - Open",A1:CV300,69,FALSE)/HLOOKUP("Gs",A1:CV300,69,FALSE))</f>
      </c>
      <c r="AS69" t="n" s="10029">
        <v>0.0</v>
      </c>
      <c r="AT69" t="n" s="10030">
        <v>0.01</v>
      </c>
      <c r="AU69" s="10031">
        <f>IF(HLOOKUP("Mins",A1:CV300,69,FALSE)=0,0,HLOOKUP("Pts",A1:CV300,69,FALSE)/HLOOKUP("Mins",A1:CV300,69,FALSE)* 90)</f>
      </c>
      <c r="AV69" s="10032">
        <f>IF(HLOOKUP("Apps",A1:CV300,69,FALSE)=0,0,HLOOKUP("Pts",A1:CV300,69,FALSE)/HLOOKUP("Apps",A1:CV300,69,FALSE)* 1)</f>
      </c>
      <c r="AW69" s="10033">
        <f>IF(HLOOKUP("Mins",A1:CV300,69,FALSE)=0,0,HLOOKUP("Gs",A1:CV300,69,FALSE)/HLOOKUP("Mins",A1:CV300,69,FALSE)* 90)</f>
      </c>
      <c r="AX69" s="10034">
        <f>IF(HLOOKUP("Mins",A1:CV300,69,FALSE)=0,0,HLOOKUP("Bonus",A1:CV300,69,FALSE)/HLOOKUP("Mins",A1:CV300,69,FALSE)* 90)</f>
      </c>
      <c r="AY69" s="10035">
        <f>IF(HLOOKUP("Mins",A1:CV300,69,FALSE)=0,0,HLOOKUP("BPS",A1:CV300,69,FALSE)/HLOOKUP("Mins",A1:CV300,69,FALSE)* 90)</f>
      </c>
      <c r="AZ69" s="10036">
        <f>IF(HLOOKUP("Mins",A1:CV300,69,FALSE)=0,0,HLOOKUP("Base BPS",A1:CV300,69,FALSE)/HLOOKUP("Mins",A1:CV300,69,FALSE)* 90)</f>
      </c>
      <c r="BA69" s="10037">
        <f>IF(HLOOKUP("Mins",A1:CV300,69,FALSE)=0,0,HLOOKUP("PenTchs",A1:CV300,69,FALSE)/HLOOKUP("Mins",A1:CV300,69,FALSE)* 90)</f>
      </c>
      <c r="BB69" s="10038">
        <f>IF(HLOOKUP("Mins",A1:CV300,69,FALSE)=0,0,HLOOKUP("Shots",A1:CV300,69,FALSE)/HLOOKUP("Mins",A1:CV300,69,FALSE)* 90)</f>
      </c>
      <c r="BC69" s="10039">
        <f>IF(HLOOKUP("Mins",A1:CV300,69,FALSE)=0,0,HLOOKUP("SIB",A1:CV300,69,FALSE)/HLOOKUP("Mins",A1:CV300,69,FALSE)* 90)</f>
      </c>
      <c r="BD69" s="10040">
        <f>IF(HLOOKUP("Mins",A1:CV300,69,FALSE)=0,0,HLOOKUP("S6YD",A1:CV300,69,FALSE)/HLOOKUP("Mins",A1:CV300,69,FALSE)* 90)</f>
      </c>
      <c r="BE69" s="10041">
        <f>IF(HLOOKUP("Mins",A1:CV300,69,FALSE)=0,0,HLOOKUP("Headers",A1:CV300,69,FALSE)/HLOOKUP("Mins",A1:CV300,69,FALSE)* 90)</f>
      </c>
      <c r="BF69" s="10042">
        <f>IF(HLOOKUP("Mins",A1:CV300,69,FALSE)=0,0,HLOOKUP("SOT",A1:CV300,69,FALSE)/HLOOKUP("Mins",A1:CV300,69,FALSE)* 90)</f>
      </c>
      <c r="BG69" s="10043">
        <f>IF(HLOOKUP("Mins",A1:CV300,69,FALSE)=0,0,HLOOKUP("As",A1:CV300,69,FALSE)/HLOOKUP("Mins",A1:CV300,69,FALSE)* 90)</f>
      </c>
      <c r="BH69" s="10044">
        <f>IF(HLOOKUP("Mins",A1:CV300,69,FALSE)=0,0,HLOOKUP("FPL As",A1:CV300,69,FALSE)/HLOOKUP("Mins",A1:CV300,69,FALSE)* 90)</f>
      </c>
      <c r="BI69" s="10045">
        <f>IF(HLOOKUP("Mins",A1:CV300,69,FALSE)=0,0,HLOOKUP("BC Created",A1:CV300,69,FALSE)/HLOOKUP("Mins",A1:CV300,69,FALSE)* 90)</f>
      </c>
      <c r="BJ69" s="10046">
        <f>IF(HLOOKUP("Mins",A1:CV300,69,FALSE)=0,0,HLOOKUP("KP",A1:CV300,69,FALSE)/HLOOKUP("Mins",A1:CV300,69,FALSE)* 90)</f>
      </c>
      <c r="BK69" s="10047">
        <f>IF(HLOOKUP("Mins",A1:CV300,69,FALSE)=0,0,HLOOKUP("BC",A1:CV300,69,FALSE)/HLOOKUP("Mins",A1:CV300,69,FALSE)* 90)</f>
      </c>
      <c r="BL69" s="10048">
        <f>IF(HLOOKUP("Mins",A1:CV300,69,FALSE)=0,0,HLOOKUP("BC Miss",A1:CV300,69,FALSE)/HLOOKUP("Mins",A1:CV300,69,FALSE)* 90)</f>
      </c>
      <c r="BM69" s="10049">
        <f>IF(HLOOKUP("Mins",A1:CV300,69,FALSE)=0,0,HLOOKUP("Gs - BC",A1:CV300,69,FALSE)/HLOOKUP("Mins",A1:CV300,69,FALSE)* 90)</f>
      </c>
      <c r="BN69" s="10050">
        <f>IF(HLOOKUP("Mins",A1:CV300,69,FALSE)=0,0,HLOOKUP("GIB",A1:CV300,69,FALSE)/HLOOKUP("Mins",A1:CV300,69,FALSE)* 90)</f>
      </c>
      <c r="BO69" s="10051">
        <f>IF(HLOOKUP("Mins",A1:CV300,69,FALSE)=0,0,HLOOKUP("Gs - Open",A1:CV300,69,FALSE)/HLOOKUP("Mins",A1:CV300,69,FALSE)* 90)</f>
      </c>
      <c r="BP69" s="10052">
        <f>IF(HLOOKUP("Mins",A1:CV300,69,FALSE)=0,0,HLOOKUP("ICT Index",A1:CV300,69,FALSE)/HLOOKUP("Mins",A1:CV300,69,FALSE)* 90)</f>
      </c>
      <c r="BQ69" s="10053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10054">
        <f>0.0825*HLOOKUP("KP/90",A1:CV300,69,FALSE)</f>
      </c>
      <c r="BS69" s="10055">
        <f>6*HLOOKUP("xG/90",A1:CV300,69,FALSE)+3*HLOOKUP("xA/90",A1:CV300,69,FALSE)</f>
      </c>
      <c r="BT69" s="10056">
        <f>HLOOKUP("xPts/90",A1:CV300,69,FALSE)-(6*0.75*(HLOOKUP("PK Gs",A1:CV300,69,FALSE)+HLOOKUP("PK Miss",A1:CV300,69,FALSE))*90/HLOOKUP("Mins",A1:CV300,69,FALSE))</f>
      </c>
      <c r="BU69" s="10057">
        <f>IF(HLOOKUP("Mins",A1:CV300,69,FALSE)=0,0,HLOOKUP("fsXG",A1:CV300,69,FALSE)/HLOOKUP("Mins",A1:CV300,69,FALSE)* 90)</f>
      </c>
      <c r="BV69" s="10058">
        <f>IF(HLOOKUP("Mins",A1:CV300,69,FALSE)=0,0,HLOOKUP("fsXA",A1:CV300,69,FALSE)/HLOOKUP("Mins",A1:CV300,69,FALSE)* 90)</f>
      </c>
      <c r="BW69" s="10059">
        <f>6*HLOOKUP("fsXG/90",A1:CV300,69,FALSE)+3*HLOOKUP("fsXA/90",A1:CV300,69,FALSE)</f>
      </c>
      <c r="BX69" t="n" s="10060">
        <v>0.0</v>
      </c>
      <c r="BY69" t="n" s="10061">
        <v>0.0</v>
      </c>
      <c r="BZ69" s="10062">
        <f>6*HLOOKUP("uXG/90",A1:CV300,69,FALSE)+3*HLOOKUP("uXA/90",A1:CV300,69,FALSE)</f>
      </c>
    </row>
    <row r="70">
      <c r="A70" t="s" s="10063">
        <v>226</v>
      </c>
      <c r="B70" t="s" s="10064">
        <v>82</v>
      </c>
      <c r="C70" t="n" s="10065">
        <v>4.800000190734863</v>
      </c>
      <c r="D70" t="n" s="10066">
        <v>90.0</v>
      </c>
      <c r="E70" t="n" s="10067">
        <v>1.0</v>
      </c>
      <c r="F70" t="n" s="10068">
        <v>7.0</v>
      </c>
      <c r="G70" t="n" s="10069">
        <v>0.0</v>
      </c>
      <c r="H70" t="n" s="10070">
        <v>0.0</v>
      </c>
      <c r="I70" t="n" s="10071">
        <v>30.0</v>
      </c>
      <c r="J70" s="10072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10073">
        <v>0.0</v>
      </c>
      <c r="L70" t="n" s="10074">
        <v>0.0</v>
      </c>
      <c r="M70" t="n" s="10075">
        <v>3.0</v>
      </c>
      <c r="N70" t="n" s="10076">
        <v>0.0</v>
      </c>
      <c r="O70" t="n" s="10077">
        <v>0.0</v>
      </c>
      <c r="P70" s="10078">
        <f>IF(HLOOKUP("Shots",A1:CV300,70,FALSE)=0,0,HLOOKUP("SIB",A1:CV300,70,FALSE)/HLOOKUP("Shots",A1:CV300,70,FALSE))</f>
      </c>
      <c r="Q70" t="n" s="10079">
        <v>0.0</v>
      </c>
      <c r="R70" s="10080">
        <f>IF(HLOOKUP("Shots",A1:CV300,70,FALSE)=0,0,HLOOKUP("S6YD",A1:CV300,70,FALSE)/HLOOKUP("Shots",A1:CV300,70,FALSE))</f>
      </c>
      <c r="S70" t="n" s="10081">
        <v>0.0</v>
      </c>
      <c r="T70" s="10082">
        <f>IF(HLOOKUP("Shots",A1:CV300,70,FALSE)=0,0,HLOOKUP("Headers",A1:CV300,70,FALSE)/HLOOKUP("Shots",A1:CV300,70,FALSE))</f>
      </c>
      <c r="U70" t="n" s="10083">
        <v>0.0</v>
      </c>
      <c r="V70" s="10084">
        <f>IF(HLOOKUP("Shots",A1:CV300,70,FALSE)=0,0,HLOOKUP("SOT",A1:CV300,70,FALSE)/HLOOKUP("Shots",A1:CV300,70,FALSE))</f>
      </c>
      <c r="W70" s="10085">
        <f>IF(HLOOKUP("Shots",A1:CV300,70,FALSE)=0,0,HLOOKUP("Gs",A1:CV300,70,FALSE)/HLOOKUP("Shots",A1:CV300,70,FALSE))</f>
      </c>
      <c r="X70" t="n" s="10086">
        <v>0.0</v>
      </c>
      <c r="Y70" t="n" s="10087">
        <v>1.0</v>
      </c>
      <c r="Z70" t="n" s="10088">
        <v>0.0</v>
      </c>
      <c r="AA70" s="10089">
        <f>IF(HLOOKUP("KP",A1:CV300,70,FALSE)=0,0,HLOOKUP("As",A1:CV300,70,FALSE)/HLOOKUP("KP",A1:CV300,70,FALSE))</f>
      </c>
      <c r="AB70" t="n" s="10090">
        <v>3.4</v>
      </c>
      <c r="AC70" t="n" s="10091">
        <v>0.0</v>
      </c>
      <c r="AD70" t="n" s="10092">
        <v>0.0</v>
      </c>
      <c r="AE70" t="n" s="10093">
        <v>0.0</v>
      </c>
      <c r="AF70" t="n" s="10094">
        <v>0.0</v>
      </c>
      <c r="AG70" s="10095">
        <f>IF(HLOOKUP("BC",A1:CV300,70,FALSE)=0,0,HLOOKUP("Gs - BC",A1:CV300,70,FALSE)/HLOOKUP("BC",A1:CV300,70,FALSE))</f>
      </c>
      <c r="AH70" s="10096">
        <f>HLOOKUP("BC",A1:CV300,70,FALSE) - HLOOKUP("BC Miss",A1:CV300,70,FALSE)</f>
      </c>
      <c r="AI70" s="10097">
        <f>IF(HLOOKUP("Gs",A1:CV300,70,FALSE)=0,0,HLOOKUP("Gs - BC",A1:CV300,70,FALSE)/HLOOKUP("Gs",A1:CV300,70,FALSE))</f>
      </c>
      <c r="AJ70" t="n" s="10098">
        <v>0.0</v>
      </c>
      <c r="AK70" t="n" s="10099">
        <v>0.0</v>
      </c>
      <c r="AL70" s="10100">
        <f>HLOOKUP("BC",A1:CV300,70,FALSE) - (HLOOKUP("PK Gs",A1:CV300,70,FALSE) + HLOOKUP("PK Miss",A1:CV300,70,FALSE))</f>
      </c>
      <c r="AM70" s="10101">
        <f>HLOOKUP("BC Miss",A1:CV300,70,FALSE) - HLOOKUP("PK Miss",A1:CV300,70,FALSE)</f>
      </c>
      <c r="AN70" s="10102">
        <f>IF(HLOOKUP("BC - Open",A1:CV300,70,FALSE)=0,0,HLOOKUP("BC - Open Miss",A1:CV300,70,FALSE)/HLOOKUP("BC - Open",A1:CV300,70,FALSE))</f>
      </c>
      <c r="AO70" t="n" s="10103">
        <v>0.0</v>
      </c>
      <c r="AP70" s="10104">
        <f>IF(HLOOKUP("Gs",A1:CV300,70,FALSE)=0,0,HLOOKUP("GIB",A1:CV300,70,FALSE)/HLOOKUP("Gs",A1:CV300,70,FALSE))</f>
      </c>
      <c r="AQ70" t="n" s="10105">
        <v>0.0</v>
      </c>
      <c r="AR70" s="10106">
        <f>IF(HLOOKUP("Gs",A1:CV300,70,FALSE)=0,0,HLOOKUP("Gs - Open",A1:CV300,70,FALSE)/HLOOKUP("Gs",A1:CV300,70,FALSE))</f>
      </c>
      <c r="AS70" t="n" s="10107">
        <v>0.0</v>
      </c>
      <c r="AT70" t="n" s="10108">
        <v>0.03</v>
      </c>
      <c r="AU70" s="10109">
        <f>IF(HLOOKUP("Mins",A1:CV300,70,FALSE)=0,0,HLOOKUP("Pts",A1:CV300,70,FALSE)/HLOOKUP("Mins",A1:CV300,70,FALSE)* 90)</f>
      </c>
      <c r="AV70" s="10110">
        <f>IF(HLOOKUP("Apps",A1:CV300,70,FALSE)=0,0,HLOOKUP("Pts",A1:CV300,70,FALSE)/HLOOKUP("Apps",A1:CV300,70,FALSE)* 1)</f>
      </c>
      <c r="AW70" s="10111">
        <f>IF(HLOOKUP("Mins",A1:CV300,70,FALSE)=0,0,HLOOKUP("Gs",A1:CV300,70,FALSE)/HLOOKUP("Mins",A1:CV300,70,FALSE)* 90)</f>
      </c>
      <c r="AX70" s="10112">
        <f>IF(HLOOKUP("Mins",A1:CV300,70,FALSE)=0,0,HLOOKUP("Bonus",A1:CV300,70,FALSE)/HLOOKUP("Mins",A1:CV300,70,FALSE)* 90)</f>
      </c>
      <c r="AY70" s="10113">
        <f>IF(HLOOKUP("Mins",A1:CV300,70,FALSE)=0,0,HLOOKUP("BPS",A1:CV300,70,FALSE)/HLOOKUP("Mins",A1:CV300,70,FALSE)* 90)</f>
      </c>
      <c r="AZ70" s="10114">
        <f>IF(HLOOKUP("Mins",A1:CV300,70,FALSE)=0,0,HLOOKUP("Base BPS",A1:CV300,70,FALSE)/HLOOKUP("Mins",A1:CV300,70,FALSE)* 90)</f>
      </c>
      <c r="BA70" s="10115">
        <f>IF(HLOOKUP("Mins",A1:CV300,70,FALSE)=0,0,HLOOKUP("PenTchs",A1:CV300,70,FALSE)/HLOOKUP("Mins",A1:CV300,70,FALSE)* 90)</f>
      </c>
      <c r="BB70" s="10116">
        <f>IF(HLOOKUP("Mins",A1:CV300,70,FALSE)=0,0,HLOOKUP("Shots",A1:CV300,70,FALSE)/HLOOKUP("Mins",A1:CV300,70,FALSE)* 90)</f>
      </c>
      <c r="BC70" s="10117">
        <f>IF(HLOOKUP("Mins",A1:CV300,70,FALSE)=0,0,HLOOKUP("SIB",A1:CV300,70,FALSE)/HLOOKUP("Mins",A1:CV300,70,FALSE)* 90)</f>
      </c>
      <c r="BD70" s="10118">
        <f>IF(HLOOKUP("Mins",A1:CV300,70,FALSE)=0,0,HLOOKUP("S6YD",A1:CV300,70,FALSE)/HLOOKUP("Mins",A1:CV300,70,FALSE)* 90)</f>
      </c>
      <c r="BE70" s="10119">
        <f>IF(HLOOKUP("Mins",A1:CV300,70,FALSE)=0,0,HLOOKUP("Headers",A1:CV300,70,FALSE)/HLOOKUP("Mins",A1:CV300,70,FALSE)* 90)</f>
      </c>
      <c r="BF70" s="10120">
        <f>IF(HLOOKUP("Mins",A1:CV300,70,FALSE)=0,0,HLOOKUP("SOT",A1:CV300,70,FALSE)/HLOOKUP("Mins",A1:CV300,70,FALSE)* 90)</f>
      </c>
      <c r="BG70" s="10121">
        <f>IF(HLOOKUP("Mins",A1:CV300,70,FALSE)=0,0,HLOOKUP("As",A1:CV300,70,FALSE)/HLOOKUP("Mins",A1:CV300,70,FALSE)* 90)</f>
      </c>
      <c r="BH70" s="10122">
        <f>IF(HLOOKUP("Mins",A1:CV300,70,FALSE)=0,0,HLOOKUP("FPL As",A1:CV300,70,FALSE)/HLOOKUP("Mins",A1:CV300,70,FALSE)* 90)</f>
      </c>
      <c r="BI70" s="10123">
        <f>IF(HLOOKUP("Mins",A1:CV300,70,FALSE)=0,0,HLOOKUP("BC Created",A1:CV300,70,FALSE)/HLOOKUP("Mins",A1:CV300,70,FALSE)* 90)</f>
      </c>
      <c r="BJ70" s="10124">
        <f>IF(HLOOKUP("Mins",A1:CV300,70,FALSE)=0,0,HLOOKUP("KP",A1:CV300,70,FALSE)/HLOOKUP("Mins",A1:CV300,70,FALSE)* 90)</f>
      </c>
      <c r="BK70" s="10125">
        <f>IF(HLOOKUP("Mins",A1:CV300,70,FALSE)=0,0,HLOOKUP("BC",A1:CV300,70,FALSE)/HLOOKUP("Mins",A1:CV300,70,FALSE)* 90)</f>
      </c>
      <c r="BL70" s="10126">
        <f>IF(HLOOKUP("Mins",A1:CV300,70,FALSE)=0,0,HLOOKUP("BC Miss",A1:CV300,70,FALSE)/HLOOKUP("Mins",A1:CV300,70,FALSE)* 90)</f>
      </c>
      <c r="BM70" s="10127">
        <f>IF(HLOOKUP("Mins",A1:CV300,70,FALSE)=0,0,HLOOKUP("Gs - BC",A1:CV300,70,FALSE)/HLOOKUP("Mins",A1:CV300,70,FALSE)* 90)</f>
      </c>
      <c r="BN70" s="10128">
        <f>IF(HLOOKUP("Mins",A1:CV300,70,FALSE)=0,0,HLOOKUP("GIB",A1:CV300,70,FALSE)/HLOOKUP("Mins",A1:CV300,70,FALSE)* 90)</f>
      </c>
      <c r="BO70" s="10129">
        <f>IF(HLOOKUP("Mins",A1:CV300,70,FALSE)=0,0,HLOOKUP("Gs - Open",A1:CV300,70,FALSE)/HLOOKUP("Mins",A1:CV300,70,FALSE)* 90)</f>
      </c>
      <c r="BP70" s="10130">
        <f>IF(HLOOKUP("Mins",A1:CV300,70,FALSE)=0,0,HLOOKUP("ICT Index",A1:CV300,70,FALSE)/HLOOKUP("Mins",A1:CV300,70,FALSE)* 90)</f>
      </c>
      <c r="BQ70" s="10131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10132">
        <f>0.0825*HLOOKUP("KP/90",A1:CV300,70,FALSE)</f>
      </c>
      <c r="BS70" s="10133">
        <f>6*HLOOKUP("xG/90",A1:CV300,70,FALSE)+3*HLOOKUP("xA/90",A1:CV300,70,FALSE)</f>
      </c>
      <c r="BT70" s="10134">
        <f>HLOOKUP("xPts/90",A1:CV300,70,FALSE)-(6*0.75*(HLOOKUP("PK Gs",A1:CV300,70,FALSE)+HLOOKUP("PK Miss",A1:CV300,70,FALSE))*90/HLOOKUP("Mins",A1:CV300,70,FALSE))</f>
      </c>
      <c r="BU70" s="10135">
        <f>IF(HLOOKUP("Mins",A1:CV300,70,FALSE)=0,0,HLOOKUP("fsXG",A1:CV300,70,FALSE)/HLOOKUP("Mins",A1:CV300,70,FALSE)* 90)</f>
      </c>
      <c r="BV70" s="10136">
        <f>IF(HLOOKUP("Mins",A1:CV300,70,FALSE)=0,0,HLOOKUP("fsXA",A1:CV300,70,FALSE)/HLOOKUP("Mins",A1:CV300,70,FALSE)* 90)</f>
      </c>
      <c r="BW70" s="10137">
        <f>6*HLOOKUP("fsXG/90",A1:CV300,70,FALSE)+3*HLOOKUP("fsXA/90",A1:CV300,70,FALSE)</f>
      </c>
      <c r="BX70" t="n" s="10138">
        <v>0.0</v>
      </c>
      <c r="BY70" t="n" s="10139">
        <v>0.0</v>
      </c>
      <c r="BZ70" s="10140">
        <f>6*HLOOKUP("uXG/90",A1:CV300,70,FALSE)+3*HLOOKUP("uXA/90",A1:CV300,70,FALSE)</f>
      </c>
    </row>
    <row r="71">
      <c r="A71" t="s" s="10141">
        <v>227</v>
      </c>
      <c r="B71" t="s" s="10142">
        <v>94</v>
      </c>
      <c r="C71" t="n" s="10143">
        <v>5.300000190734863</v>
      </c>
      <c r="D71" t="n" s="10144">
        <v>85.0</v>
      </c>
      <c r="E71" t="n" s="10145">
        <v>2.0</v>
      </c>
      <c r="F71" t="n" s="10146">
        <v>17.0</v>
      </c>
      <c r="G71" t="n" s="10147">
        <v>0.0</v>
      </c>
      <c r="H71" t="n" s="10148">
        <v>0.0</v>
      </c>
      <c r="I71" t="n" s="10149">
        <v>137.0</v>
      </c>
      <c r="J71" s="10150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10151">
        <v>0.0</v>
      </c>
      <c r="L71" t="n" s="10152">
        <v>1.0</v>
      </c>
      <c r="M71" t="n" s="10153">
        <v>0.0</v>
      </c>
      <c r="N71" t="n" s="10154">
        <v>0.0</v>
      </c>
      <c r="O71" t="n" s="10155">
        <v>0.0</v>
      </c>
      <c r="P71" s="10156">
        <f>IF(HLOOKUP("Shots",A1:CV300,71,FALSE)=0,0,HLOOKUP("SIB",A1:CV300,71,FALSE)/HLOOKUP("Shots",A1:CV300,71,FALSE))</f>
      </c>
      <c r="Q71" t="n" s="10157">
        <v>0.0</v>
      </c>
      <c r="R71" s="10158">
        <f>IF(HLOOKUP("Shots",A1:CV300,71,FALSE)=0,0,HLOOKUP("S6YD",A1:CV300,71,FALSE)/HLOOKUP("Shots",A1:CV300,71,FALSE))</f>
      </c>
      <c r="S71" t="n" s="10159">
        <v>0.0</v>
      </c>
      <c r="T71" s="10160">
        <f>IF(HLOOKUP("Shots",A1:CV300,71,FALSE)=0,0,HLOOKUP("Headers",A1:CV300,71,FALSE)/HLOOKUP("Shots",A1:CV300,71,FALSE))</f>
      </c>
      <c r="U71" t="n" s="10161">
        <v>0.0</v>
      </c>
      <c r="V71" s="10162">
        <f>IF(HLOOKUP("Shots",A1:CV300,71,FALSE)=0,0,HLOOKUP("SOT",A1:CV300,71,FALSE)/HLOOKUP("Shots",A1:CV300,71,FALSE))</f>
      </c>
      <c r="W71" s="10163">
        <f>IF(HLOOKUP("Shots",A1:CV300,71,FALSE)=0,0,HLOOKUP("Gs",A1:CV300,71,FALSE)/HLOOKUP("Shots",A1:CV300,71,FALSE))</f>
      </c>
      <c r="X71" t="n" s="10164">
        <v>0.0</v>
      </c>
      <c r="Y71" t="n" s="10165">
        <v>0.0</v>
      </c>
      <c r="Z71" t="n" s="10166">
        <v>0.0</v>
      </c>
      <c r="AA71" s="10167">
        <f>IF(HLOOKUP("KP",A1:CV300,71,FALSE)=0,0,HLOOKUP("As",A1:CV300,71,FALSE)/HLOOKUP("KP",A1:CV300,71,FALSE))</f>
      </c>
      <c r="AB71" t="n" s="10168">
        <v>1.4</v>
      </c>
      <c r="AC71" t="n" s="10169">
        <v>0.0</v>
      </c>
      <c r="AD71" t="n" s="10170">
        <v>0.0</v>
      </c>
      <c r="AE71" t="n" s="10171">
        <v>0.0</v>
      </c>
      <c r="AF71" t="n" s="10172">
        <v>0.0</v>
      </c>
      <c r="AG71" s="10173">
        <f>IF(HLOOKUP("BC",A1:CV300,71,FALSE)=0,0,HLOOKUP("Gs - BC",A1:CV300,71,FALSE)/HLOOKUP("BC",A1:CV300,71,FALSE))</f>
      </c>
      <c r="AH71" s="10174">
        <f>HLOOKUP("BC",A1:CV300,71,FALSE) - HLOOKUP("BC Miss",A1:CV300,71,FALSE)</f>
      </c>
      <c r="AI71" s="10175">
        <f>IF(HLOOKUP("Gs",A1:CV300,71,FALSE)=0,0,HLOOKUP("Gs - BC",A1:CV300,71,FALSE)/HLOOKUP("Gs",A1:CV300,71,FALSE))</f>
      </c>
      <c r="AJ71" t="n" s="10176">
        <v>0.0</v>
      </c>
      <c r="AK71" t="n" s="10177">
        <v>0.0</v>
      </c>
      <c r="AL71" s="10178">
        <f>HLOOKUP("BC",A1:CV300,71,FALSE) - (HLOOKUP("PK Gs",A1:CV300,71,FALSE) + HLOOKUP("PK Miss",A1:CV300,71,FALSE))</f>
      </c>
      <c r="AM71" s="10179">
        <f>HLOOKUP("BC Miss",A1:CV300,71,FALSE) - HLOOKUP("PK Miss",A1:CV300,71,FALSE)</f>
      </c>
      <c r="AN71" s="10180">
        <f>IF(HLOOKUP("BC - Open",A1:CV300,71,FALSE)=0,0,HLOOKUP("BC - Open Miss",A1:CV300,71,FALSE)/HLOOKUP("BC - Open",A1:CV300,71,FALSE))</f>
      </c>
      <c r="AO71" t="n" s="10181">
        <v>0.0</v>
      </c>
      <c r="AP71" s="10182">
        <f>IF(HLOOKUP("Gs",A1:CV300,71,FALSE)=0,0,HLOOKUP("GIB",A1:CV300,71,FALSE)/HLOOKUP("Gs",A1:CV300,71,FALSE))</f>
      </c>
      <c r="AQ71" t="n" s="10183">
        <v>0.0</v>
      </c>
      <c r="AR71" s="10184">
        <f>IF(HLOOKUP("Gs",A1:CV300,71,FALSE)=0,0,HLOOKUP("Gs - Open",A1:CV300,71,FALSE)/HLOOKUP("Gs",A1:CV300,71,FALSE))</f>
      </c>
      <c r="AS71" t="n" s="10185">
        <v>0.0</v>
      </c>
      <c r="AT71" t="n" s="10186">
        <v>0.01</v>
      </c>
      <c r="AU71" s="10187">
        <f>IF(HLOOKUP("Mins",A1:CV300,71,FALSE)=0,0,HLOOKUP("Pts",A1:CV300,71,FALSE)/HLOOKUP("Mins",A1:CV300,71,FALSE)* 90)</f>
      </c>
      <c r="AV71" s="10188">
        <f>IF(HLOOKUP("Apps",A1:CV300,71,FALSE)=0,0,HLOOKUP("Pts",A1:CV300,71,FALSE)/HLOOKUP("Apps",A1:CV300,71,FALSE)* 1)</f>
      </c>
      <c r="AW71" s="10189">
        <f>IF(HLOOKUP("Mins",A1:CV300,71,FALSE)=0,0,HLOOKUP("Gs",A1:CV300,71,FALSE)/HLOOKUP("Mins",A1:CV300,71,FALSE)* 90)</f>
      </c>
      <c r="AX71" s="10190">
        <f>IF(HLOOKUP("Mins",A1:CV300,71,FALSE)=0,0,HLOOKUP("Bonus",A1:CV300,71,FALSE)/HLOOKUP("Mins",A1:CV300,71,FALSE)* 90)</f>
      </c>
      <c r="AY71" s="10191">
        <f>IF(HLOOKUP("Mins",A1:CV300,71,FALSE)=0,0,HLOOKUP("BPS",A1:CV300,71,FALSE)/HLOOKUP("Mins",A1:CV300,71,FALSE)* 90)</f>
      </c>
      <c r="AZ71" s="10192">
        <f>IF(HLOOKUP("Mins",A1:CV300,71,FALSE)=0,0,HLOOKUP("Base BPS",A1:CV300,71,FALSE)/HLOOKUP("Mins",A1:CV300,71,FALSE)* 90)</f>
      </c>
      <c r="BA71" s="10193">
        <f>IF(HLOOKUP("Mins",A1:CV300,71,FALSE)=0,0,HLOOKUP("PenTchs",A1:CV300,71,FALSE)/HLOOKUP("Mins",A1:CV300,71,FALSE)* 90)</f>
      </c>
      <c r="BB71" s="10194">
        <f>IF(HLOOKUP("Mins",A1:CV300,71,FALSE)=0,0,HLOOKUP("Shots",A1:CV300,71,FALSE)/HLOOKUP("Mins",A1:CV300,71,FALSE)* 90)</f>
      </c>
      <c r="BC71" s="10195">
        <f>IF(HLOOKUP("Mins",A1:CV300,71,FALSE)=0,0,HLOOKUP("SIB",A1:CV300,71,FALSE)/HLOOKUP("Mins",A1:CV300,71,FALSE)* 90)</f>
      </c>
      <c r="BD71" s="10196">
        <f>IF(HLOOKUP("Mins",A1:CV300,71,FALSE)=0,0,HLOOKUP("S6YD",A1:CV300,71,FALSE)/HLOOKUP("Mins",A1:CV300,71,FALSE)* 90)</f>
      </c>
      <c r="BE71" s="10197">
        <f>IF(HLOOKUP("Mins",A1:CV300,71,FALSE)=0,0,HLOOKUP("Headers",A1:CV300,71,FALSE)/HLOOKUP("Mins",A1:CV300,71,FALSE)* 90)</f>
      </c>
      <c r="BF71" s="10198">
        <f>IF(HLOOKUP("Mins",A1:CV300,71,FALSE)=0,0,HLOOKUP("SOT",A1:CV300,71,FALSE)/HLOOKUP("Mins",A1:CV300,71,FALSE)* 90)</f>
      </c>
      <c r="BG71" s="10199">
        <f>IF(HLOOKUP("Mins",A1:CV300,71,FALSE)=0,0,HLOOKUP("As",A1:CV300,71,FALSE)/HLOOKUP("Mins",A1:CV300,71,FALSE)* 90)</f>
      </c>
      <c r="BH71" s="10200">
        <f>IF(HLOOKUP("Mins",A1:CV300,71,FALSE)=0,0,HLOOKUP("FPL As",A1:CV300,71,FALSE)/HLOOKUP("Mins",A1:CV300,71,FALSE)* 90)</f>
      </c>
      <c r="BI71" s="10201">
        <f>IF(HLOOKUP("Mins",A1:CV300,71,FALSE)=0,0,HLOOKUP("BC Created",A1:CV300,71,FALSE)/HLOOKUP("Mins",A1:CV300,71,FALSE)* 90)</f>
      </c>
      <c r="BJ71" s="10202">
        <f>IF(HLOOKUP("Mins",A1:CV300,71,FALSE)=0,0,HLOOKUP("KP",A1:CV300,71,FALSE)/HLOOKUP("Mins",A1:CV300,71,FALSE)* 90)</f>
      </c>
      <c r="BK71" s="10203">
        <f>IF(HLOOKUP("Mins",A1:CV300,71,FALSE)=0,0,HLOOKUP("BC",A1:CV300,71,FALSE)/HLOOKUP("Mins",A1:CV300,71,FALSE)* 90)</f>
      </c>
      <c r="BL71" s="10204">
        <f>IF(HLOOKUP("Mins",A1:CV300,71,FALSE)=0,0,HLOOKUP("BC Miss",A1:CV300,71,FALSE)/HLOOKUP("Mins",A1:CV300,71,FALSE)* 90)</f>
      </c>
      <c r="BM71" s="10205">
        <f>IF(HLOOKUP("Mins",A1:CV300,71,FALSE)=0,0,HLOOKUP("Gs - BC",A1:CV300,71,FALSE)/HLOOKUP("Mins",A1:CV300,71,FALSE)* 90)</f>
      </c>
      <c r="BN71" s="10206">
        <f>IF(HLOOKUP("Mins",A1:CV300,71,FALSE)=0,0,HLOOKUP("GIB",A1:CV300,71,FALSE)/HLOOKUP("Mins",A1:CV300,71,FALSE)* 90)</f>
      </c>
      <c r="BO71" s="10207">
        <f>IF(HLOOKUP("Mins",A1:CV300,71,FALSE)=0,0,HLOOKUP("Gs - Open",A1:CV300,71,FALSE)/HLOOKUP("Mins",A1:CV300,71,FALSE)* 90)</f>
      </c>
      <c r="BP71" s="10208">
        <f>IF(HLOOKUP("Mins",A1:CV300,71,FALSE)=0,0,HLOOKUP("ICT Index",A1:CV300,71,FALSE)/HLOOKUP("Mins",A1:CV300,71,FALSE)* 90)</f>
      </c>
      <c r="BQ71" s="10209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10210">
        <f>0.0825*HLOOKUP("KP/90",A1:CV300,71,FALSE)</f>
      </c>
      <c r="BS71" s="10211">
        <f>6*HLOOKUP("xG/90",A1:CV300,71,FALSE)+3*HLOOKUP("xA/90",A1:CV300,71,FALSE)</f>
      </c>
      <c r="BT71" s="10212">
        <f>HLOOKUP("xPts/90",A1:CV300,71,FALSE)-(6*0.75*(HLOOKUP("PK Gs",A1:CV300,71,FALSE)+HLOOKUP("PK Miss",A1:CV300,71,FALSE))*90/HLOOKUP("Mins",A1:CV300,71,FALSE))</f>
      </c>
      <c r="BU71" s="10213">
        <f>IF(HLOOKUP("Mins",A1:CV300,71,FALSE)=0,0,HLOOKUP("fsXG",A1:CV300,71,FALSE)/HLOOKUP("Mins",A1:CV300,71,FALSE)* 90)</f>
      </c>
      <c r="BV71" s="10214">
        <f>IF(HLOOKUP("Mins",A1:CV300,71,FALSE)=0,0,HLOOKUP("fsXA",A1:CV300,71,FALSE)/HLOOKUP("Mins",A1:CV300,71,FALSE)* 90)</f>
      </c>
      <c r="BW71" s="10215">
        <f>6*HLOOKUP("fsXG/90",A1:CV300,71,FALSE)+3*HLOOKUP("fsXA/90",A1:CV300,71,FALSE)</f>
      </c>
      <c r="BX71" t="n" s="10216">
        <v>0.0</v>
      </c>
      <c r="BY71" t="n" s="10217">
        <v>0.0</v>
      </c>
      <c r="BZ71" s="10218">
        <f>6*HLOOKUP("uXG/90",A1:CV300,71,FALSE)+3*HLOOKUP("uXA/90",A1:CV300,71,FALSE)</f>
      </c>
    </row>
    <row r="72">
      <c r="A72" t="s" s="10219">
        <v>228</v>
      </c>
      <c r="B72" t="s" s="10220">
        <v>87</v>
      </c>
      <c r="C72" t="n" s="10221">
        <v>4.400000095367432</v>
      </c>
      <c r="D72" t="n" s="10222">
        <v>540.0</v>
      </c>
      <c r="E72" t="n" s="10223">
        <v>6.0</v>
      </c>
      <c r="F72" t="n" s="10224">
        <v>9.0</v>
      </c>
      <c r="G72" t="n" s="10225">
        <v>0.0</v>
      </c>
      <c r="H72" t="n" s="10226">
        <v>0.0</v>
      </c>
      <c r="I72" t="n" s="10227">
        <v>72.0</v>
      </c>
      <c r="J72" s="10228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10229">
        <v>0.0</v>
      </c>
      <c r="L72" t="n" s="10230">
        <v>1.0</v>
      </c>
      <c r="M72" t="n" s="10231">
        <v>5.0</v>
      </c>
      <c r="N72" t="n" s="10232">
        <v>3.0</v>
      </c>
      <c r="O72" t="n" s="10233">
        <v>3.0</v>
      </c>
      <c r="P72" s="10234">
        <f>IF(HLOOKUP("Shots",A1:CV300,72,FALSE)=0,0,HLOOKUP("SIB",A1:CV300,72,FALSE)/HLOOKUP("Shots",A1:CV300,72,FALSE))</f>
      </c>
      <c r="Q72" t="n" s="10235">
        <v>3.0</v>
      </c>
      <c r="R72" s="10236">
        <f>IF(HLOOKUP("Shots",A1:CV300,72,FALSE)=0,0,HLOOKUP("S6YD",A1:CV300,72,FALSE)/HLOOKUP("Shots",A1:CV300,72,FALSE))</f>
      </c>
      <c r="S72" t="n" s="10237">
        <v>3.0</v>
      </c>
      <c r="T72" s="10238">
        <f>IF(HLOOKUP("Shots",A1:CV300,72,FALSE)=0,0,HLOOKUP("Headers",A1:CV300,72,FALSE)/HLOOKUP("Shots",A1:CV300,72,FALSE))</f>
      </c>
      <c r="U72" t="n" s="10239">
        <v>0.0</v>
      </c>
      <c r="V72" s="10240">
        <f>IF(HLOOKUP("Shots",A1:CV300,72,FALSE)=0,0,HLOOKUP("SOT",A1:CV300,72,FALSE)/HLOOKUP("Shots",A1:CV300,72,FALSE))</f>
      </c>
      <c r="W72" s="10241">
        <f>IF(HLOOKUP("Shots",A1:CV300,72,FALSE)=0,0,HLOOKUP("Gs",A1:CV300,72,FALSE)/HLOOKUP("Shots",A1:CV300,72,FALSE))</f>
      </c>
      <c r="X72" t="n" s="10242">
        <v>0.0</v>
      </c>
      <c r="Y72" t="n" s="10243">
        <v>0.0</v>
      </c>
      <c r="Z72" t="n" s="10244">
        <v>0.0</v>
      </c>
      <c r="AA72" s="10245">
        <f>IF(HLOOKUP("KP",A1:CV300,72,FALSE)=0,0,HLOOKUP("As",A1:CV300,72,FALSE)/HLOOKUP("KP",A1:CV300,72,FALSE))</f>
      </c>
      <c r="AB72" t="n" s="10246">
        <v>19.1</v>
      </c>
      <c r="AC72" t="n" s="10247">
        <v>0.0</v>
      </c>
      <c r="AD72" t="n" s="10248">
        <v>0.0</v>
      </c>
      <c r="AE72" t="n" s="10249">
        <v>1.0</v>
      </c>
      <c r="AF72" t="n" s="10250">
        <v>1.0</v>
      </c>
      <c r="AG72" s="10251">
        <f>IF(HLOOKUP("BC",A1:CV300,72,FALSE)=0,0,HLOOKUP("Gs - BC",A1:CV300,72,FALSE)/HLOOKUP("BC",A1:CV300,72,FALSE))</f>
      </c>
      <c r="AH72" s="10252">
        <f>HLOOKUP("BC",A1:CV300,72,FALSE) - HLOOKUP("BC Miss",A1:CV300,72,FALSE)</f>
      </c>
      <c r="AI72" s="10253">
        <f>IF(HLOOKUP("Gs",A1:CV300,72,FALSE)=0,0,HLOOKUP("Gs - BC",A1:CV300,72,FALSE)/HLOOKUP("Gs",A1:CV300,72,FALSE))</f>
      </c>
      <c r="AJ72" t="n" s="10254">
        <v>0.0</v>
      </c>
      <c r="AK72" t="n" s="10255">
        <v>0.0</v>
      </c>
      <c r="AL72" s="10256">
        <f>HLOOKUP("BC",A1:CV300,72,FALSE) - (HLOOKUP("PK Gs",A1:CV300,72,FALSE) + HLOOKUP("PK Miss",A1:CV300,72,FALSE))</f>
      </c>
      <c r="AM72" s="10257">
        <f>HLOOKUP("BC Miss",A1:CV300,72,FALSE) - HLOOKUP("PK Miss",A1:CV300,72,FALSE)</f>
      </c>
      <c r="AN72" s="10258">
        <f>IF(HLOOKUP("BC - Open",A1:CV300,72,FALSE)=0,0,HLOOKUP("BC - Open Miss",A1:CV300,72,FALSE)/HLOOKUP("BC - Open",A1:CV300,72,FALSE))</f>
      </c>
      <c r="AO72" t="n" s="10259">
        <v>0.0</v>
      </c>
      <c r="AP72" s="10260">
        <f>IF(HLOOKUP("Gs",A1:CV300,72,FALSE)=0,0,HLOOKUP("GIB",A1:CV300,72,FALSE)/HLOOKUP("Gs",A1:CV300,72,FALSE))</f>
      </c>
      <c r="AQ72" t="n" s="10261">
        <v>0.0</v>
      </c>
      <c r="AR72" s="10262">
        <f>IF(HLOOKUP("Gs",A1:CV300,72,FALSE)=0,0,HLOOKUP("Gs - Open",A1:CV300,72,FALSE)/HLOOKUP("Gs",A1:CV300,72,FALSE))</f>
      </c>
      <c r="AS72" t="n" s="10263">
        <v>0.4</v>
      </c>
      <c r="AT72" t="n" s="10264">
        <v>0.03</v>
      </c>
      <c r="AU72" s="10265">
        <f>IF(HLOOKUP("Mins",A1:CV300,72,FALSE)=0,0,HLOOKUP("Pts",A1:CV300,72,FALSE)/HLOOKUP("Mins",A1:CV300,72,FALSE)* 90)</f>
      </c>
      <c r="AV72" s="10266">
        <f>IF(HLOOKUP("Apps",A1:CV300,72,FALSE)=0,0,HLOOKUP("Pts",A1:CV300,72,FALSE)/HLOOKUP("Apps",A1:CV300,72,FALSE)* 1)</f>
      </c>
      <c r="AW72" s="10267">
        <f>IF(HLOOKUP("Mins",A1:CV300,72,FALSE)=0,0,HLOOKUP("Gs",A1:CV300,72,FALSE)/HLOOKUP("Mins",A1:CV300,72,FALSE)* 90)</f>
      </c>
      <c r="AX72" s="10268">
        <f>IF(HLOOKUP("Mins",A1:CV300,72,FALSE)=0,0,HLOOKUP("Bonus",A1:CV300,72,FALSE)/HLOOKUP("Mins",A1:CV300,72,FALSE)* 90)</f>
      </c>
      <c r="AY72" s="10269">
        <f>IF(HLOOKUP("Mins",A1:CV300,72,FALSE)=0,0,HLOOKUP("BPS",A1:CV300,72,FALSE)/HLOOKUP("Mins",A1:CV300,72,FALSE)* 90)</f>
      </c>
      <c r="AZ72" s="10270">
        <f>IF(HLOOKUP("Mins",A1:CV300,72,FALSE)=0,0,HLOOKUP("Base BPS",A1:CV300,72,FALSE)/HLOOKUP("Mins",A1:CV300,72,FALSE)* 90)</f>
      </c>
      <c r="BA72" s="10271">
        <f>IF(HLOOKUP("Mins",A1:CV300,72,FALSE)=0,0,HLOOKUP("PenTchs",A1:CV300,72,FALSE)/HLOOKUP("Mins",A1:CV300,72,FALSE)* 90)</f>
      </c>
      <c r="BB72" s="10272">
        <f>IF(HLOOKUP("Mins",A1:CV300,72,FALSE)=0,0,HLOOKUP("Shots",A1:CV300,72,FALSE)/HLOOKUP("Mins",A1:CV300,72,FALSE)* 90)</f>
      </c>
      <c r="BC72" s="10273">
        <f>IF(HLOOKUP("Mins",A1:CV300,72,FALSE)=0,0,HLOOKUP("SIB",A1:CV300,72,FALSE)/HLOOKUP("Mins",A1:CV300,72,FALSE)* 90)</f>
      </c>
      <c r="BD72" s="10274">
        <f>IF(HLOOKUP("Mins",A1:CV300,72,FALSE)=0,0,HLOOKUP("S6YD",A1:CV300,72,FALSE)/HLOOKUP("Mins",A1:CV300,72,FALSE)* 90)</f>
      </c>
      <c r="BE72" s="10275">
        <f>IF(HLOOKUP("Mins",A1:CV300,72,FALSE)=0,0,HLOOKUP("Headers",A1:CV300,72,FALSE)/HLOOKUP("Mins",A1:CV300,72,FALSE)* 90)</f>
      </c>
      <c r="BF72" s="10276">
        <f>IF(HLOOKUP("Mins",A1:CV300,72,FALSE)=0,0,HLOOKUP("SOT",A1:CV300,72,FALSE)/HLOOKUP("Mins",A1:CV300,72,FALSE)* 90)</f>
      </c>
      <c r="BG72" s="10277">
        <f>IF(HLOOKUP("Mins",A1:CV300,72,FALSE)=0,0,HLOOKUP("As",A1:CV300,72,FALSE)/HLOOKUP("Mins",A1:CV300,72,FALSE)* 90)</f>
      </c>
      <c r="BH72" s="10278">
        <f>IF(HLOOKUP("Mins",A1:CV300,72,FALSE)=0,0,HLOOKUP("FPL As",A1:CV300,72,FALSE)/HLOOKUP("Mins",A1:CV300,72,FALSE)* 90)</f>
      </c>
      <c r="BI72" s="10279">
        <f>IF(HLOOKUP("Mins",A1:CV300,72,FALSE)=0,0,HLOOKUP("BC Created",A1:CV300,72,FALSE)/HLOOKUP("Mins",A1:CV300,72,FALSE)* 90)</f>
      </c>
      <c r="BJ72" s="10280">
        <f>IF(HLOOKUP("Mins",A1:CV300,72,FALSE)=0,0,HLOOKUP("KP",A1:CV300,72,FALSE)/HLOOKUP("Mins",A1:CV300,72,FALSE)* 90)</f>
      </c>
      <c r="BK72" s="10281">
        <f>IF(HLOOKUP("Mins",A1:CV300,72,FALSE)=0,0,HLOOKUP("BC",A1:CV300,72,FALSE)/HLOOKUP("Mins",A1:CV300,72,FALSE)* 90)</f>
      </c>
      <c r="BL72" s="10282">
        <f>IF(HLOOKUP("Mins",A1:CV300,72,FALSE)=0,0,HLOOKUP("BC Miss",A1:CV300,72,FALSE)/HLOOKUP("Mins",A1:CV300,72,FALSE)* 90)</f>
      </c>
      <c r="BM72" s="10283">
        <f>IF(HLOOKUP("Mins",A1:CV300,72,FALSE)=0,0,HLOOKUP("Gs - BC",A1:CV300,72,FALSE)/HLOOKUP("Mins",A1:CV300,72,FALSE)* 90)</f>
      </c>
      <c r="BN72" s="10284">
        <f>IF(HLOOKUP("Mins",A1:CV300,72,FALSE)=0,0,HLOOKUP("GIB",A1:CV300,72,FALSE)/HLOOKUP("Mins",A1:CV300,72,FALSE)* 90)</f>
      </c>
      <c r="BO72" s="10285">
        <f>IF(HLOOKUP("Mins",A1:CV300,72,FALSE)=0,0,HLOOKUP("Gs - Open",A1:CV300,72,FALSE)/HLOOKUP("Mins",A1:CV300,72,FALSE)* 90)</f>
      </c>
      <c r="BP72" s="10286">
        <f>IF(HLOOKUP("Mins",A1:CV300,72,FALSE)=0,0,HLOOKUP("ICT Index",A1:CV300,72,FALSE)/HLOOKUP("Mins",A1:CV300,72,FALSE)* 90)</f>
      </c>
      <c r="BQ72" s="10287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10288">
        <f>0.0825*HLOOKUP("KP/90",A1:CV300,72,FALSE)</f>
      </c>
      <c r="BS72" s="10289">
        <f>6*HLOOKUP("xG/90",A1:CV300,72,FALSE)+3*HLOOKUP("xA/90",A1:CV300,72,FALSE)</f>
      </c>
      <c r="BT72" s="10290">
        <f>HLOOKUP("xPts/90",A1:CV300,72,FALSE)-(6*0.75*(HLOOKUP("PK Gs",A1:CV300,72,FALSE)+HLOOKUP("PK Miss",A1:CV300,72,FALSE))*90/HLOOKUP("Mins",A1:CV300,72,FALSE))</f>
      </c>
      <c r="BU72" s="10291">
        <f>IF(HLOOKUP("Mins",A1:CV300,72,FALSE)=0,0,HLOOKUP("fsXG",A1:CV300,72,FALSE)/HLOOKUP("Mins",A1:CV300,72,FALSE)* 90)</f>
      </c>
      <c r="BV72" s="10292">
        <f>IF(HLOOKUP("Mins",A1:CV300,72,FALSE)=0,0,HLOOKUP("fsXA",A1:CV300,72,FALSE)/HLOOKUP("Mins",A1:CV300,72,FALSE)* 90)</f>
      </c>
      <c r="BW72" s="10293">
        <f>6*HLOOKUP("fsXG/90",A1:CV300,72,FALSE)+3*HLOOKUP("fsXA/90",A1:CV300,72,FALSE)</f>
      </c>
      <c r="BX72" t="n" s="10294">
        <v>0.09864450246095657</v>
      </c>
      <c r="BY72" t="n" s="10295">
        <v>0.0</v>
      </c>
      <c r="BZ72" s="10296">
        <f>6*HLOOKUP("uXG/90",A1:CV300,72,FALSE)+3*HLOOKUP("uXA/90",A1:CV300,72,FALSE)</f>
      </c>
    </row>
    <row r="73">
      <c r="A73" t="s" s="10297">
        <v>229</v>
      </c>
      <c r="B73" t="s" s="10298">
        <v>114</v>
      </c>
      <c r="C73" t="n" s="10299">
        <v>5.300000190734863</v>
      </c>
      <c r="D73" t="n" s="10300">
        <v>375.0</v>
      </c>
      <c r="E73" t="n" s="10301">
        <v>6.0</v>
      </c>
      <c r="F73" t="n" s="10302">
        <v>49.0</v>
      </c>
      <c r="G73" t="n" s="10303">
        <v>0.0</v>
      </c>
      <c r="H73" t="n" s="10304">
        <v>5.0</v>
      </c>
      <c r="I73" t="n" s="10305">
        <v>298.0</v>
      </c>
      <c r="J73" s="10306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10307">
        <v>1.0</v>
      </c>
      <c r="L73" t="n" s="10308">
        <v>5.0</v>
      </c>
      <c r="M73" t="n" s="10309">
        <v>8.0</v>
      </c>
      <c r="N73" t="n" s="10310">
        <v>5.0</v>
      </c>
      <c r="O73" t="n" s="10311">
        <v>5.0</v>
      </c>
      <c r="P73" s="10312">
        <f>IF(HLOOKUP("Shots",A1:CV300,73,FALSE)=0,0,HLOOKUP("SIB",A1:CV300,73,FALSE)/HLOOKUP("Shots",A1:CV300,73,FALSE))</f>
      </c>
      <c r="Q73" t="n" s="10313">
        <v>2.0</v>
      </c>
      <c r="R73" s="10314">
        <f>IF(HLOOKUP("Shots",A1:CV300,73,FALSE)=0,0,HLOOKUP("S6YD",A1:CV300,73,FALSE)/HLOOKUP("Shots",A1:CV300,73,FALSE))</f>
      </c>
      <c r="S73" t="n" s="10315">
        <v>3.0</v>
      </c>
      <c r="T73" s="10316">
        <f>IF(HLOOKUP("Shots",A1:CV300,73,FALSE)=0,0,HLOOKUP("Headers",A1:CV300,73,FALSE)/HLOOKUP("Shots",A1:CV300,73,FALSE))</f>
      </c>
      <c r="U73" t="n" s="10317">
        <v>0.0</v>
      </c>
      <c r="V73" s="10318">
        <f>IF(HLOOKUP("Shots",A1:CV300,73,FALSE)=0,0,HLOOKUP("SOT",A1:CV300,73,FALSE)/HLOOKUP("Shots",A1:CV300,73,FALSE))</f>
      </c>
      <c r="W73" s="10319">
        <f>IF(HLOOKUP("Shots",A1:CV300,73,FALSE)=0,0,HLOOKUP("Gs",A1:CV300,73,FALSE)/HLOOKUP("Shots",A1:CV300,73,FALSE))</f>
      </c>
      <c r="X73" t="n" s="10320">
        <v>0.0</v>
      </c>
      <c r="Y73" t="n" s="10321">
        <v>0.0</v>
      </c>
      <c r="Z73" t="n" s="10322">
        <v>2.0</v>
      </c>
      <c r="AA73" s="10323">
        <f>IF(HLOOKUP("KP",A1:CV300,73,FALSE)=0,0,HLOOKUP("As",A1:CV300,73,FALSE)/HLOOKUP("KP",A1:CV300,73,FALSE))</f>
      </c>
      <c r="AB73" t="n" s="10324">
        <v>14.7</v>
      </c>
      <c r="AC73" t="n" s="10325">
        <v>0.0</v>
      </c>
      <c r="AD73" t="n" s="10326">
        <v>1.0</v>
      </c>
      <c r="AE73" t="n" s="10327">
        <v>0.0</v>
      </c>
      <c r="AF73" t="n" s="10328">
        <v>0.0</v>
      </c>
      <c r="AG73" s="10329">
        <f>IF(HLOOKUP("BC",A1:CV300,73,FALSE)=0,0,HLOOKUP("Gs - BC",A1:CV300,73,FALSE)/HLOOKUP("BC",A1:CV300,73,FALSE))</f>
      </c>
      <c r="AH73" s="10330">
        <f>HLOOKUP("BC",A1:CV300,73,FALSE) - HLOOKUP("BC Miss",A1:CV300,73,FALSE)</f>
      </c>
      <c r="AI73" s="10331">
        <f>IF(HLOOKUP("Gs",A1:CV300,73,FALSE)=0,0,HLOOKUP("Gs - BC",A1:CV300,73,FALSE)/HLOOKUP("Gs",A1:CV300,73,FALSE))</f>
      </c>
      <c r="AJ73" t="n" s="10332">
        <v>0.0</v>
      </c>
      <c r="AK73" t="n" s="10333">
        <v>0.0</v>
      </c>
      <c r="AL73" s="10334">
        <f>HLOOKUP("BC",A1:CV300,73,FALSE) - (HLOOKUP("PK Gs",A1:CV300,73,FALSE) + HLOOKUP("PK Miss",A1:CV300,73,FALSE))</f>
      </c>
      <c r="AM73" s="10335">
        <f>HLOOKUP("BC Miss",A1:CV300,73,FALSE) - HLOOKUP("PK Miss",A1:CV300,73,FALSE)</f>
      </c>
      <c r="AN73" s="10336">
        <f>IF(HLOOKUP("BC - Open",A1:CV300,73,FALSE)=0,0,HLOOKUP("BC - Open Miss",A1:CV300,73,FALSE)/HLOOKUP("BC - Open",A1:CV300,73,FALSE))</f>
      </c>
      <c r="AO73" t="n" s="10337">
        <v>0.0</v>
      </c>
      <c r="AP73" s="10338">
        <f>IF(HLOOKUP("Gs",A1:CV300,73,FALSE)=0,0,HLOOKUP("GIB",A1:CV300,73,FALSE)/HLOOKUP("Gs",A1:CV300,73,FALSE))</f>
      </c>
      <c r="AQ73" t="n" s="10339">
        <v>0.0</v>
      </c>
      <c r="AR73" s="10340">
        <f>IF(HLOOKUP("Gs",A1:CV300,73,FALSE)=0,0,HLOOKUP("Gs - Open",A1:CV300,73,FALSE)/HLOOKUP("Gs",A1:CV300,73,FALSE))</f>
      </c>
      <c r="AS73" t="n" s="10341">
        <v>0.62</v>
      </c>
      <c r="AT73" t="n" s="10342">
        <v>0.09</v>
      </c>
      <c r="AU73" s="10343">
        <f>IF(HLOOKUP("Mins",A1:CV300,73,FALSE)=0,0,HLOOKUP("Pts",A1:CV300,73,FALSE)/HLOOKUP("Mins",A1:CV300,73,FALSE)* 90)</f>
      </c>
      <c r="AV73" s="10344">
        <f>IF(HLOOKUP("Apps",A1:CV300,73,FALSE)=0,0,HLOOKUP("Pts",A1:CV300,73,FALSE)/HLOOKUP("Apps",A1:CV300,73,FALSE)* 1)</f>
      </c>
      <c r="AW73" s="10345">
        <f>IF(HLOOKUP("Mins",A1:CV300,73,FALSE)=0,0,HLOOKUP("Gs",A1:CV300,73,FALSE)/HLOOKUP("Mins",A1:CV300,73,FALSE)* 90)</f>
      </c>
      <c r="AX73" s="10346">
        <f>IF(HLOOKUP("Mins",A1:CV300,73,FALSE)=0,0,HLOOKUP("Bonus",A1:CV300,73,FALSE)/HLOOKUP("Mins",A1:CV300,73,FALSE)* 90)</f>
      </c>
      <c r="AY73" s="10347">
        <f>IF(HLOOKUP("Mins",A1:CV300,73,FALSE)=0,0,HLOOKUP("BPS",A1:CV300,73,FALSE)/HLOOKUP("Mins",A1:CV300,73,FALSE)* 90)</f>
      </c>
      <c r="AZ73" s="10348">
        <f>IF(HLOOKUP("Mins",A1:CV300,73,FALSE)=0,0,HLOOKUP("Base BPS",A1:CV300,73,FALSE)/HLOOKUP("Mins",A1:CV300,73,FALSE)* 90)</f>
      </c>
      <c r="BA73" s="10349">
        <f>IF(HLOOKUP("Mins",A1:CV300,73,FALSE)=0,0,HLOOKUP("PenTchs",A1:CV300,73,FALSE)/HLOOKUP("Mins",A1:CV300,73,FALSE)* 90)</f>
      </c>
      <c r="BB73" s="10350">
        <f>IF(HLOOKUP("Mins",A1:CV300,73,FALSE)=0,0,HLOOKUP("Shots",A1:CV300,73,FALSE)/HLOOKUP("Mins",A1:CV300,73,FALSE)* 90)</f>
      </c>
      <c r="BC73" s="10351">
        <f>IF(HLOOKUP("Mins",A1:CV300,73,FALSE)=0,0,HLOOKUP("SIB",A1:CV300,73,FALSE)/HLOOKUP("Mins",A1:CV300,73,FALSE)* 90)</f>
      </c>
      <c r="BD73" s="10352">
        <f>IF(HLOOKUP("Mins",A1:CV300,73,FALSE)=0,0,HLOOKUP("S6YD",A1:CV300,73,FALSE)/HLOOKUP("Mins",A1:CV300,73,FALSE)* 90)</f>
      </c>
      <c r="BE73" s="10353">
        <f>IF(HLOOKUP("Mins",A1:CV300,73,FALSE)=0,0,HLOOKUP("Headers",A1:CV300,73,FALSE)/HLOOKUP("Mins",A1:CV300,73,FALSE)* 90)</f>
      </c>
      <c r="BF73" s="10354">
        <f>IF(HLOOKUP("Mins",A1:CV300,73,FALSE)=0,0,HLOOKUP("SOT",A1:CV300,73,FALSE)/HLOOKUP("Mins",A1:CV300,73,FALSE)* 90)</f>
      </c>
      <c r="BG73" s="10355">
        <f>IF(HLOOKUP("Mins",A1:CV300,73,FALSE)=0,0,HLOOKUP("As",A1:CV300,73,FALSE)/HLOOKUP("Mins",A1:CV300,73,FALSE)* 90)</f>
      </c>
      <c r="BH73" s="10356">
        <f>IF(HLOOKUP("Mins",A1:CV300,73,FALSE)=0,0,HLOOKUP("FPL As",A1:CV300,73,FALSE)/HLOOKUP("Mins",A1:CV300,73,FALSE)* 90)</f>
      </c>
      <c r="BI73" s="10357">
        <f>IF(HLOOKUP("Mins",A1:CV300,73,FALSE)=0,0,HLOOKUP("BC Created",A1:CV300,73,FALSE)/HLOOKUP("Mins",A1:CV300,73,FALSE)* 90)</f>
      </c>
      <c r="BJ73" s="10358">
        <f>IF(HLOOKUP("Mins",A1:CV300,73,FALSE)=0,0,HLOOKUP("KP",A1:CV300,73,FALSE)/HLOOKUP("Mins",A1:CV300,73,FALSE)* 90)</f>
      </c>
      <c r="BK73" s="10359">
        <f>IF(HLOOKUP("Mins",A1:CV300,73,FALSE)=0,0,HLOOKUP("BC",A1:CV300,73,FALSE)/HLOOKUP("Mins",A1:CV300,73,FALSE)* 90)</f>
      </c>
      <c r="BL73" s="10360">
        <f>IF(HLOOKUP("Mins",A1:CV300,73,FALSE)=0,0,HLOOKUP("BC Miss",A1:CV300,73,FALSE)/HLOOKUP("Mins",A1:CV300,73,FALSE)* 90)</f>
      </c>
      <c r="BM73" s="10361">
        <f>IF(HLOOKUP("Mins",A1:CV300,73,FALSE)=0,0,HLOOKUP("Gs - BC",A1:CV300,73,FALSE)/HLOOKUP("Mins",A1:CV300,73,FALSE)* 90)</f>
      </c>
      <c r="BN73" s="10362">
        <f>IF(HLOOKUP("Mins",A1:CV300,73,FALSE)=0,0,HLOOKUP("GIB",A1:CV300,73,FALSE)/HLOOKUP("Mins",A1:CV300,73,FALSE)* 90)</f>
      </c>
      <c r="BO73" s="10363">
        <f>IF(HLOOKUP("Mins",A1:CV300,73,FALSE)=0,0,HLOOKUP("Gs - Open",A1:CV300,73,FALSE)/HLOOKUP("Mins",A1:CV300,73,FALSE)* 90)</f>
      </c>
      <c r="BP73" s="10364">
        <f>IF(HLOOKUP("Mins",A1:CV300,73,FALSE)=0,0,HLOOKUP("ICT Index",A1:CV300,73,FALSE)/HLOOKUP("Mins",A1:CV300,73,FALSE)* 90)</f>
      </c>
      <c r="BQ73" s="10365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10366">
        <f>0.0825*HLOOKUP("KP/90",A1:CV300,73,FALSE)</f>
      </c>
      <c r="BS73" s="10367">
        <f>6*HLOOKUP("xG/90",A1:CV300,73,FALSE)+3*HLOOKUP("xA/90",A1:CV300,73,FALSE)</f>
      </c>
      <c r="BT73" s="10368">
        <f>HLOOKUP("xPts/90",A1:CV300,73,FALSE)-(6*0.75*(HLOOKUP("PK Gs",A1:CV300,73,FALSE)+HLOOKUP("PK Miss",A1:CV300,73,FALSE))*90/HLOOKUP("Mins",A1:CV300,73,FALSE))</f>
      </c>
      <c r="BU73" s="10369">
        <f>IF(HLOOKUP("Mins",A1:CV300,73,FALSE)=0,0,HLOOKUP("fsXG",A1:CV300,73,FALSE)/HLOOKUP("Mins",A1:CV300,73,FALSE)* 90)</f>
      </c>
      <c r="BV73" s="10370">
        <f>IF(HLOOKUP("Mins",A1:CV300,73,FALSE)=0,0,HLOOKUP("fsXA",A1:CV300,73,FALSE)/HLOOKUP("Mins",A1:CV300,73,FALSE)* 90)</f>
      </c>
      <c r="BW73" s="10371">
        <f>6*HLOOKUP("fsXG/90",A1:CV300,73,FALSE)+3*HLOOKUP("fsXA/90",A1:CV300,73,FALSE)</f>
      </c>
      <c r="BX73" t="n" s="10372">
        <v>0.07946601510047913</v>
      </c>
      <c r="BY73" t="n" s="10373">
        <v>0.15102070569992065</v>
      </c>
      <c r="BZ73" s="10374">
        <f>6*HLOOKUP("uXG/90",A1:CV300,73,FALSE)+3*HLOOKUP("uXA/90",A1:CV300,73,FALSE)</f>
      </c>
    </row>
    <row r="74">
      <c r="A74" t="s" s="10375">
        <v>230</v>
      </c>
      <c r="B74" t="s" s="10376">
        <v>112</v>
      </c>
      <c r="C74" t="n" s="10377">
        <v>4.5</v>
      </c>
      <c r="D74" t="n" s="10378">
        <v>270.0</v>
      </c>
      <c r="E74" t="n" s="10379">
        <v>3.0</v>
      </c>
      <c r="F74" t="n" s="10380">
        <v>55.0</v>
      </c>
      <c r="G74" t="n" s="10381">
        <v>0.0</v>
      </c>
      <c r="H74" t="n" s="10382">
        <v>5.0</v>
      </c>
      <c r="I74" t="n" s="10383">
        <v>296.0</v>
      </c>
      <c r="J74" s="10384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10385">
        <v>0.0</v>
      </c>
      <c r="L74" t="n" s="10386">
        <v>6.0</v>
      </c>
      <c r="M74" t="n" s="10387">
        <v>0.0</v>
      </c>
      <c r="N74" t="n" s="10388">
        <v>0.0</v>
      </c>
      <c r="O74" t="n" s="10389">
        <v>0.0</v>
      </c>
      <c r="P74" s="10390">
        <f>IF(HLOOKUP("Shots",A1:CV300,74,FALSE)=0,0,HLOOKUP("SIB",A1:CV300,74,FALSE)/HLOOKUP("Shots",A1:CV300,74,FALSE))</f>
      </c>
      <c r="Q74" t="n" s="10391">
        <v>0.0</v>
      </c>
      <c r="R74" s="10392">
        <f>IF(HLOOKUP("Shots",A1:CV300,74,FALSE)=0,0,HLOOKUP("S6YD",A1:CV300,74,FALSE)/HLOOKUP("Shots",A1:CV300,74,FALSE))</f>
      </c>
      <c r="S74" t="n" s="10393">
        <v>0.0</v>
      </c>
      <c r="T74" s="10394">
        <f>IF(HLOOKUP("Shots",A1:CV300,74,FALSE)=0,0,HLOOKUP("Headers",A1:CV300,74,FALSE)/HLOOKUP("Shots",A1:CV300,74,FALSE))</f>
      </c>
      <c r="U74" t="n" s="10395">
        <v>0.0</v>
      </c>
      <c r="V74" s="10396">
        <f>IF(HLOOKUP("Shots",A1:CV300,74,FALSE)=0,0,HLOOKUP("SOT",A1:CV300,74,FALSE)/HLOOKUP("Shots",A1:CV300,74,FALSE))</f>
      </c>
      <c r="W74" s="10397">
        <f>IF(HLOOKUP("Shots",A1:CV300,74,FALSE)=0,0,HLOOKUP("Gs",A1:CV300,74,FALSE)/HLOOKUP("Shots",A1:CV300,74,FALSE))</f>
      </c>
      <c r="X74" t="n" s="10398">
        <v>1.0</v>
      </c>
      <c r="Y74" t="n" s="10399">
        <v>2.0</v>
      </c>
      <c r="Z74" t="n" s="10400">
        <v>4.0</v>
      </c>
      <c r="AA74" s="10401">
        <f>IF(HLOOKUP("KP",A1:CV300,74,FALSE)=0,0,HLOOKUP("As",A1:CV300,74,FALSE)/HLOOKUP("KP",A1:CV300,74,FALSE))</f>
      </c>
      <c r="AB74" t="n" s="10402">
        <v>12.9</v>
      </c>
      <c r="AC74" t="n" s="10403">
        <v>17.0</v>
      </c>
      <c r="AD74" t="n" s="10404">
        <v>1.0</v>
      </c>
      <c r="AE74" t="n" s="10405">
        <v>0.0</v>
      </c>
      <c r="AF74" t="n" s="10406">
        <v>0.0</v>
      </c>
      <c r="AG74" s="10407">
        <f>IF(HLOOKUP("BC",A1:CV300,74,FALSE)=0,0,HLOOKUP("Gs - BC",A1:CV300,74,FALSE)/HLOOKUP("BC",A1:CV300,74,FALSE))</f>
      </c>
      <c r="AH74" s="10408">
        <f>HLOOKUP("BC",A1:CV300,74,FALSE) - HLOOKUP("BC Miss",A1:CV300,74,FALSE)</f>
      </c>
      <c r="AI74" s="10409">
        <f>IF(HLOOKUP("Gs",A1:CV300,74,FALSE)=0,0,HLOOKUP("Gs - BC",A1:CV300,74,FALSE)/HLOOKUP("Gs",A1:CV300,74,FALSE))</f>
      </c>
      <c r="AJ74" t="n" s="10410">
        <v>0.0</v>
      </c>
      <c r="AK74" t="n" s="10411">
        <v>0.0</v>
      </c>
      <c r="AL74" s="10412">
        <f>HLOOKUP("BC",A1:CV300,74,FALSE) - (HLOOKUP("PK Gs",A1:CV300,74,FALSE) + HLOOKUP("PK Miss",A1:CV300,74,FALSE))</f>
      </c>
      <c r="AM74" s="10413">
        <f>HLOOKUP("BC Miss",A1:CV300,74,FALSE) - HLOOKUP("PK Miss",A1:CV300,74,FALSE)</f>
      </c>
      <c r="AN74" s="10414">
        <f>IF(HLOOKUP("BC - Open",A1:CV300,74,FALSE)=0,0,HLOOKUP("BC - Open Miss",A1:CV300,74,FALSE)/HLOOKUP("BC - Open",A1:CV300,74,FALSE))</f>
      </c>
      <c r="AO74" t="n" s="10415">
        <v>0.0</v>
      </c>
      <c r="AP74" s="10416">
        <f>IF(HLOOKUP("Gs",A1:CV300,74,FALSE)=0,0,HLOOKUP("GIB",A1:CV300,74,FALSE)/HLOOKUP("Gs",A1:CV300,74,FALSE))</f>
      </c>
      <c r="AQ74" t="n" s="10417">
        <v>0.0</v>
      </c>
      <c r="AR74" s="10418">
        <f>IF(HLOOKUP("Gs",A1:CV300,74,FALSE)=0,0,HLOOKUP("Gs - Open",A1:CV300,74,FALSE)/HLOOKUP("Gs",A1:CV300,74,FALSE))</f>
      </c>
      <c r="AS74" t="n" s="10419">
        <v>0.0</v>
      </c>
      <c r="AT74" t="n" s="10420">
        <v>0.67</v>
      </c>
      <c r="AU74" s="10421">
        <f>IF(HLOOKUP("Mins",A1:CV300,74,FALSE)=0,0,HLOOKUP("Pts",A1:CV300,74,FALSE)/HLOOKUP("Mins",A1:CV300,74,FALSE)* 90)</f>
      </c>
      <c r="AV74" s="10422">
        <f>IF(HLOOKUP("Apps",A1:CV300,74,FALSE)=0,0,HLOOKUP("Pts",A1:CV300,74,FALSE)/HLOOKUP("Apps",A1:CV300,74,FALSE)* 1)</f>
      </c>
      <c r="AW74" s="10423">
        <f>IF(HLOOKUP("Mins",A1:CV300,74,FALSE)=0,0,HLOOKUP("Gs",A1:CV300,74,FALSE)/HLOOKUP("Mins",A1:CV300,74,FALSE)* 90)</f>
      </c>
      <c r="AX74" s="10424">
        <f>IF(HLOOKUP("Mins",A1:CV300,74,FALSE)=0,0,HLOOKUP("Bonus",A1:CV300,74,FALSE)/HLOOKUP("Mins",A1:CV300,74,FALSE)* 90)</f>
      </c>
      <c r="AY74" s="10425">
        <f>IF(HLOOKUP("Mins",A1:CV300,74,FALSE)=0,0,HLOOKUP("BPS",A1:CV300,74,FALSE)/HLOOKUP("Mins",A1:CV300,74,FALSE)* 90)</f>
      </c>
      <c r="AZ74" s="10426">
        <f>IF(HLOOKUP("Mins",A1:CV300,74,FALSE)=0,0,HLOOKUP("Base BPS",A1:CV300,74,FALSE)/HLOOKUP("Mins",A1:CV300,74,FALSE)* 90)</f>
      </c>
      <c r="BA74" s="10427">
        <f>IF(HLOOKUP("Mins",A1:CV300,74,FALSE)=0,0,HLOOKUP("PenTchs",A1:CV300,74,FALSE)/HLOOKUP("Mins",A1:CV300,74,FALSE)* 90)</f>
      </c>
      <c r="BB74" s="10428">
        <f>IF(HLOOKUP("Mins",A1:CV300,74,FALSE)=0,0,HLOOKUP("Shots",A1:CV300,74,FALSE)/HLOOKUP("Mins",A1:CV300,74,FALSE)* 90)</f>
      </c>
      <c r="BC74" s="10429">
        <f>IF(HLOOKUP("Mins",A1:CV300,74,FALSE)=0,0,HLOOKUP("SIB",A1:CV300,74,FALSE)/HLOOKUP("Mins",A1:CV300,74,FALSE)* 90)</f>
      </c>
      <c r="BD74" s="10430">
        <f>IF(HLOOKUP("Mins",A1:CV300,74,FALSE)=0,0,HLOOKUP("S6YD",A1:CV300,74,FALSE)/HLOOKUP("Mins",A1:CV300,74,FALSE)* 90)</f>
      </c>
      <c r="BE74" s="10431">
        <f>IF(HLOOKUP("Mins",A1:CV300,74,FALSE)=0,0,HLOOKUP("Headers",A1:CV300,74,FALSE)/HLOOKUP("Mins",A1:CV300,74,FALSE)* 90)</f>
      </c>
      <c r="BF74" s="10432">
        <f>IF(HLOOKUP("Mins",A1:CV300,74,FALSE)=0,0,HLOOKUP("SOT",A1:CV300,74,FALSE)/HLOOKUP("Mins",A1:CV300,74,FALSE)* 90)</f>
      </c>
      <c r="BG74" s="10433">
        <f>IF(HLOOKUP("Mins",A1:CV300,74,FALSE)=0,0,HLOOKUP("As",A1:CV300,74,FALSE)/HLOOKUP("Mins",A1:CV300,74,FALSE)* 90)</f>
      </c>
      <c r="BH74" s="10434">
        <f>IF(HLOOKUP("Mins",A1:CV300,74,FALSE)=0,0,HLOOKUP("FPL As",A1:CV300,74,FALSE)/HLOOKUP("Mins",A1:CV300,74,FALSE)* 90)</f>
      </c>
      <c r="BI74" s="10435">
        <f>IF(HLOOKUP("Mins",A1:CV300,74,FALSE)=0,0,HLOOKUP("BC Created",A1:CV300,74,FALSE)/HLOOKUP("Mins",A1:CV300,74,FALSE)* 90)</f>
      </c>
      <c r="BJ74" s="10436">
        <f>IF(HLOOKUP("Mins",A1:CV300,74,FALSE)=0,0,HLOOKUP("KP",A1:CV300,74,FALSE)/HLOOKUP("Mins",A1:CV300,74,FALSE)* 90)</f>
      </c>
      <c r="BK74" s="10437">
        <f>IF(HLOOKUP("Mins",A1:CV300,74,FALSE)=0,0,HLOOKUP("BC",A1:CV300,74,FALSE)/HLOOKUP("Mins",A1:CV300,74,FALSE)* 90)</f>
      </c>
      <c r="BL74" s="10438">
        <f>IF(HLOOKUP("Mins",A1:CV300,74,FALSE)=0,0,HLOOKUP("BC Miss",A1:CV300,74,FALSE)/HLOOKUP("Mins",A1:CV300,74,FALSE)* 90)</f>
      </c>
      <c r="BM74" s="10439">
        <f>IF(HLOOKUP("Mins",A1:CV300,74,FALSE)=0,0,HLOOKUP("Gs - BC",A1:CV300,74,FALSE)/HLOOKUP("Mins",A1:CV300,74,FALSE)* 90)</f>
      </c>
      <c r="BN74" s="10440">
        <f>IF(HLOOKUP("Mins",A1:CV300,74,FALSE)=0,0,HLOOKUP("GIB",A1:CV300,74,FALSE)/HLOOKUP("Mins",A1:CV300,74,FALSE)* 90)</f>
      </c>
      <c r="BO74" s="10441">
        <f>IF(HLOOKUP("Mins",A1:CV300,74,FALSE)=0,0,HLOOKUP("Gs - Open",A1:CV300,74,FALSE)/HLOOKUP("Mins",A1:CV300,74,FALSE)* 90)</f>
      </c>
      <c r="BP74" s="10442">
        <f>IF(HLOOKUP("Mins",A1:CV300,74,FALSE)=0,0,HLOOKUP("ICT Index",A1:CV300,74,FALSE)/HLOOKUP("Mins",A1:CV300,74,FALSE)* 90)</f>
      </c>
      <c r="BQ74" s="10443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10444">
        <f>0.0825*HLOOKUP("KP/90",A1:CV300,74,FALSE)</f>
      </c>
      <c r="BS74" s="10445">
        <f>6*HLOOKUP("xG/90",A1:CV300,74,FALSE)+3*HLOOKUP("xA/90",A1:CV300,74,FALSE)</f>
      </c>
      <c r="BT74" s="10446">
        <f>HLOOKUP("xPts/90",A1:CV300,74,FALSE)-(6*0.75*(HLOOKUP("PK Gs",A1:CV300,74,FALSE)+HLOOKUP("PK Miss",A1:CV300,74,FALSE))*90/HLOOKUP("Mins",A1:CV300,74,FALSE))</f>
      </c>
      <c r="BU74" s="10447">
        <f>IF(HLOOKUP("Mins",A1:CV300,74,FALSE)=0,0,HLOOKUP("fsXG",A1:CV300,74,FALSE)/HLOOKUP("Mins",A1:CV300,74,FALSE)* 90)</f>
      </c>
      <c r="BV74" s="10448">
        <f>IF(HLOOKUP("Mins",A1:CV300,74,FALSE)=0,0,HLOOKUP("fsXA",A1:CV300,74,FALSE)/HLOOKUP("Mins",A1:CV300,74,FALSE)* 90)</f>
      </c>
      <c r="BW74" s="10449">
        <f>6*HLOOKUP("fsXG/90",A1:CV300,74,FALSE)+3*HLOOKUP("fsXA/90",A1:CV300,74,FALSE)</f>
      </c>
      <c r="BX74" t="n" s="10450">
        <v>0.0</v>
      </c>
      <c r="BY74" t="n" s="10451">
        <v>0.25272539258003235</v>
      </c>
      <c r="BZ74" s="10452">
        <f>6*HLOOKUP("uXG/90",A1:CV300,74,FALSE)+3*HLOOKUP("uXA/90",A1:CV300,74,FALSE)</f>
      </c>
    </row>
    <row r="75">
      <c r="A75" t="s" s="10453">
        <v>231</v>
      </c>
      <c r="B75" t="s" s="10454">
        <v>82</v>
      </c>
      <c r="C75" t="n" s="10455">
        <v>6.400000095367432</v>
      </c>
      <c r="D75" t="n" s="10456">
        <v>450.0</v>
      </c>
      <c r="E75" t="n" s="10457">
        <v>5.0</v>
      </c>
      <c r="F75" t="n" s="10458">
        <v>93.0</v>
      </c>
      <c r="G75" t="n" s="10459">
        <v>0.0</v>
      </c>
      <c r="H75" t="n" s="10460">
        <v>10.0</v>
      </c>
      <c r="I75" t="n" s="10461">
        <v>434.0</v>
      </c>
      <c r="J75" s="10462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10463">
        <v>0.0</v>
      </c>
      <c r="L75" t="n" s="10464">
        <v>8.0</v>
      </c>
      <c r="M75" t="n" s="10465">
        <v>4.0</v>
      </c>
      <c r="N75" t="n" s="10466">
        <v>1.0</v>
      </c>
      <c r="O75" t="n" s="10467">
        <v>0.0</v>
      </c>
      <c r="P75" s="10468">
        <f>IF(HLOOKUP("Shots",A1:CV300,75,FALSE)=0,0,HLOOKUP("SIB",A1:CV300,75,FALSE)/HLOOKUP("Shots",A1:CV300,75,FALSE))</f>
      </c>
      <c r="Q75" t="n" s="10469">
        <v>0.0</v>
      </c>
      <c r="R75" s="10470">
        <f>IF(HLOOKUP("Shots",A1:CV300,75,FALSE)=0,0,HLOOKUP("S6YD",A1:CV300,75,FALSE)/HLOOKUP("Shots",A1:CV300,75,FALSE))</f>
      </c>
      <c r="S75" t="n" s="10471">
        <v>0.0</v>
      </c>
      <c r="T75" s="10472">
        <f>IF(HLOOKUP("Shots",A1:CV300,75,FALSE)=0,0,HLOOKUP("Headers",A1:CV300,75,FALSE)/HLOOKUP("Shots",A1:CV300,75,FALSE))</f>
      </c>
      <c r="U75" t="n" s="10473">
        <v>0.0</v>
      </c>
      <c r="V75" s="10474">
        <f>IF(HLOOKUP("Shots",A1:CV300,75,FALSE)=0,0,HLOOKUP("SOT",A1:CV300,75,FALSE)/HLOOKUP("Shots",A1:CV300,75,FALSE))</f>
      </c>
      <c r="W75" s="10475">
        <f>IF(HLOOKUP("Shots",A1:CV300,75,FALSE)=0,0,HLOOKUP("Gs",A1:CV300,75,FALSE)/HLOOKUP("Shots",A1:CV300,75,FALSE))</f>
      </c>
      <c r="X75" t="n" s="10476">
        <v>0.0</v>
      </c>
      <c r="Y75" t="n" s="10477">
        <v>1.0</v>
      </c>
      <c r="Z75" t="n" s="10478">
        <v>0.0</v>
      </c>
      <c r="AA75" s="10479">
        <f>IF(HLOOKUP("KP",A1:CV300,75,FALSE)=0,0,HLOOKUP("As",A1:CV300,75,FALSE)/HLOOKUP("KP",A1:CV300,75,FALSE))</f>
      </c>
      <c r="AB75" t="n" s="10480">
        <v>12.3</v>
      </c>
      <c r="AC75" t="n" s="10481">
        <v>0.0</v>
      </c>
      <c r="AD75" t="n" s="10482">
        <v>0.0</v>
      </c>
      <c r="AE75" t="n" s="10483">
        <v>0.0</v>
      </c>
      <c r="AF75" t="n" s="10484">
        <v>0.0</v>
      </c>
      <c r="AG75" s="10485">
        <f>IF(HLOOKUP("BC",A1:CV300,75,FALSE)=0,0,HLOOKUP("Gs - BC",A1:CV300,75,FALSE)/HLOOKUP("BC",A1:CV300,75,FALSE))</f>
      </c>
      <c r="AH75" s="10486">
        <f>HLOOKUP("BC",A1:CV300,75,FALSE) - HLOOKUP("BC Miss",A1:CV300,75,FALSE)</f>
      </c>
      <c r="AI75" s="10487">
        <f>IF(HLOOKUP("Gs",A1:CV300,75,FALSE)=0,0,HLOOKUP("Gs - BC",A1:CV300,75,FALSE)/HLOOKUP("Gs",A1:CV300,75,FALSE))</f>
      </c>
      <c r="AJ75" t="n" s="10488">
        <v>0.0</v>
      </c>
      <c r="AK75" t="n" s="10489">
        <v>0.0</v>
      </c>
      <c r="AL75" s="10490">
        <f>HLOOKUP("BC",A1:CV300,75,FALSE) - (HLOOKUP("PK Gs",A1:CV300,75,FALSE) + HLOOKUP("PK Miss",A1:CV300,75,FALSE))</f>
      </c>
      <c r="AM75" s="10491">
        <f>HLOOKUP("BC Miss",A1:CV300,75,FALSE) - HLOOKUP("PK Miss",A1:CV300,75,FALSE)</f>
      </c>
      <c r="AN75" s="10492">
        <f>IF(HLOOKUP("BC - Open",A1:CV300,75,FALSE)=0,0,HLOOKUP("BC - Open Miss",A1:CV300,75,FALSE)/HLOOKUP("BC - Open",A1:CV300,75,FALSE))</f>
      </c>
      <c r="AO75" t="n" s="10493">
        <v>0.0</v>
      </c>
      <c r="AP75" s="10494">
        <f>IF(HLOOKUP("Gs",A1:CV300,75,FALSE)=0,0,HLOOKUP("GIB",A1:CV300,75,FALSE)/HLOOKUP("Gs",A1:CV300,75,FALSE))</f>
      </c>
      <c r="AQ75" t="n" s="10495">
        <v>0.0</v>
      </c>
      <c r="AR75" s="10496">
        <f>IF(HLOOKUP("Gs",A1:CV300,75,FALSE)=0,0,HLOOKUP("Gs - Open",A1:CV300,75,FALSE)/HLOOKUP("Gs",A1:CV300,75,FALSE))</f>
      </c>
      <c r="AS75" t="n" s="10497">
        <v>0.02</v>
      </c>
      <c r="AT75" t="n" s="10498">
        <v>0.19</v>
      </c>
      <c r="AU75" s="10499">
        <f>IF(HLOOKUP("Mins",A1:CV300,75,FALSE)=0,0,HLOOKUP("Pts",A1:CV300,75,FALSE)/HLOOKUP("Mins",A1:CV300,75,FALSE)* 90)</f>
      </c>
      <c r="AV75" s="10500">
        <f>IF(HLOOKUP("Apps",A1:CV300,75,FALSE)=0,0,HLOOKUP("Pts",A1:CV300,75,FALSE)/HLOOKUP("Apps",A1:CV300,75,FALSE)* 1)</f>
      </c>
      <c r="AW75" s="10501">
        <f>IF(HLOOKUP("Mins",A1:CV300,75,FALSE)=0,0,HLOOKUP("Gs",A1:CV300,75,FALSE)/HLOOKUP("Mins",A1:CV300,75,FALSE)* 90)</f>
      </c>
      <c r="AX75" s="10502">
        <f>IF(HLOOKUP("Mins",A1:CV300,75,FALSE)=0,0,HLOOKUP("Bonus",A1:CV300,75,FALSE)/HLOOKUP("Mins",A1:CV300,75,FALSE)* 90)</f>
      </c>
      <c r="AY75" s="10503">
        <f>IF(HLOOKUP("Mins",A1:CV300,75,FALSE)=0,0,HLOOKUP("BPS",A1:CV300,75,FALSE)/HLOOKUP("Mins",A1:CV300,75,FALSE)* 90)</f>
      </c>
      <c r="AZ75" s="10504">
        <f>IF(HLOOKUP("Mins",A1:CV300,75,FALSE)=0,0,HLOOKUP("Base BPS",A1:CV300,75,FALSE)/HLOOKUP("Mins",A1:CV300,75,FALSE)* 90)</f>
      </c>
      <c r="BA75" s="10505">
        <f>IF(HLOOKUP("Mins",A1:CV300,75,FALSE)=0,0,HLOOKUP("PenTchs",A1:CV300,75,FALSE)/HLOOKUP("Mins",A1:CV300,75,FALSE)* 90)</f>
      </c>
      <c r="BB75" s="10506">
        <f>IF(HLOOKUP("Mins",A1:CV300,75,FALSE)=0,0,HLOOKUP("Shots",A1:CV300,75,FALSE)/HLOOKUP("Mins",A1:CV300,75,FALSE)* 90)</f>
      </c>
      <c r="BC75" s="10507">
        <f>IF(HLOOKUP("Mins",A1:CV300,75,FALSE)=0,0,HLOOKUP("SIB",A1:CV300,75,FALSE)/HLOOKUP("Mins",A1:CV300,75,FALSE)* 90)</f>
      </c>
      <c r="BD75" s="10508">
        <f>IF(HLOOKUP("Mins",A1:CV300,75,FALSE)=0,0,HLOOKUP("S6YD",A1:CV300,75,FALSE)/HLOOKUP("Mins",A1:CV300,75,FALSE)* 90)</f>
      </c>
      <c r="BE75" s="10509">
        <f>IF(HLOOKUP("Mins",A1:CV300,75,FALSE)=0,0,HLOOKUP("Headers",A1:CV300,75,FALSE)/HLOOKUP("Mins",A1:CV300,75,FALSE)* 90)</f>
      </c>
      <c r="BF75" s="10510">
        <f>IF(HLOOKUP("Mins",A1:CV300,75,FALSE)=0,0,HLOOKUP("SOT",A1:CV300,75,FALSE)/HLOOKUP("Mins",A1:CV300,75,FALSE)* 90)</f>
      </c>
      <c r="BG75" s="10511">
        <f>IF(HLOOKUP("Mins",A1:CV300,75,FALSE)=0,0,HLOOKUP("As",A1:CV300,75,FALSE)/HLOOKUP("Mins",A1:CV300,75,FALSE)* 90)</f>
      </c>
      <c r="BH75" s="10512">
        <f>IF(HLOOKUP("Mins",A1:CV300,75,FALSE)=0,0,HLOOKUP("FPL As",A1:CV300,75,FALSE)/HLOOKUP("Mins",A1:CV300,75,FALSE)* 90)</f>
      </c>
      <c r="BI75" s="10513">
        <f>IF(HLOOKUP("Mins",A1:CV300,75,FALSE)=0,0,HLOOKUP("BC Created",A1:CV300,75,FALSE)/HLOOKUP("Mins",A1:CV300,75,FALSE)* 90)</f>
      </c>
      <c r="BJ75" s="10514">
        <f>IF(HLOOKUP("Mins",A1:CV300,75,FALSE)=0,0,HLOOKUP("KP",A1:CV300,75,FALSE)/HLOOKUP("Mins",A1:CV300,75,FALSE)* 90)</f>
      </c>
      <c r="BK75" s="10515">
        <f>IF(HLOOKUP("Mins",A1:CV300,75,FALSE)=0,0,HLOOKUP("BC",A1:CV300,75,FALSE)/HLOOKUP("Mins",A1:CV300,75,FALSE)* 90)</f>
      </c>
      <c r="BL75" s="10516">
        <f>IF(HLOOKUP("Mins",A1:CV300,75,FALSE)=0,0,HLOOKUP("BC Miss",A1:CV300,75,FALSE)/HLOOKUP("Mins",A1:CV300,75,FALSE)* 90)</f>
      </c>
      <c r="BM75" s="10517">
        <f>IF(HLOOKUP("Mins",A1:CV300,75,FALSE)=0,0,HLOOKUP("Gs - BC",A1:CV300,75,FALSE)/HLOOKUP("Mins",A1:CV300,75,FALSE)* 90)</f>
      </c>
      <c r="BN75" s="10518">
        <f>IF(HLOOKUP("Mins",A1:CV300,75,FALSE)=0,0,HLOOKUP("GIB",A1:CV300,75,FALSE)/HLOOKUP("Mins",A1:CV300,75,FALSE)* 90)</f>
      </c>
      <c r="BO75" s="10519">
        <f>IF(HLOOKUP("Mins",A1:CV300,75,FALSE)=0,0,HLOOKUP("Gs - Open",A1:CV300,75,FALSE)/HLOOKUP("Mins",A1:CV300,75,FALSE)* 90)</f>
      </c>
      <c r="BP75" s="10520">
        <f>IF(HLOOKUP("Mins",A1:CV300,75,FALSE)=0,0,HLOOKUP("ICT Index",A1:CV300,75,FALSE)/HLOOKUP("Mins",A1:CV300,75,FALSE)* 90)</f>
      </c>
      <c r="BQ75" s="10521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0522">
        <f>0.0825*HLOOKUP("KP/90",A1:CV300,75,FALSE)</f>
      </c>
      <c r="BS75" s="10523">
        <f>6*HLOOKUP("xG/90",A1:CV300,75,FALSE)+3*HLOOKUP("xA/90",A1:CV300,75,FALSE)</f>
      </c>
      <c r="BT75" s="10524">
        <f>HLOOKUP("xPts/90",A1:CV300,75,FALSE)-(6*0.75*(HLOOKUP("PK Gs",A1:CV300,75,FALSE)+HLOOKUP("PK Miss",A1:CV300,75,FALSE))*90/HLOOKUP("Mins",A1:CV300,75,FALSE))</f>
      </c>
      <c r="BU75" s="10525">
        <f>IF(HLOOKUP("Mins",A1:CV300,75,FALSE)=0,0,HLOOKUP("fsXG",A1:CV300,75,FALSE)/HLOOKUP("Mins",A1:CV300,75,FALSE)* 90)</f>
      </c>
      <c r="BV75" s="10526">
        <f>IF(HLOOKUP("Mins",A1:CV300,75,FALSE)=0,0,HLOOKUP("fsXA",A1:CV300,75,FALSE)/HLOOKUP("Mins",A1:CV300,75,FALSE)* 90)</f>
      </c>
      <c r="BW75" s="10527">
        <f>6*HLOOKUP("fsXG/90",A1:CV300,75,FALSE)+3*HLOOKUP("fsXA/90",A1:CV300,75,FALSE)</f>
      </c>
      <c r="BX75" t="n" s="10528">
        <v>0.0021980861201882362</v>
      </c>
      <c r="BY75" t="n" s="10529">
        <v>0.0</v>
      </c>
      <c r="BZ75" s="10530">
        <f>6*HLOOKUP("uXG/90",A1:CV300,75,FALSE)+3*HLOOKUP("uXA/90",A1:CV300,75,FALSE)</f>
      </c>
    </row>
    <row r="76">
      <c r="A76" t="s" s="10531">
        <v>232</v>
      </c>
      <c r="B76" t="s" s="10532">
        <v>114</v>
      </c>
      <c r="C76" t="n" s="10533">
        <v>5.300000190734863</v>
      </c>
      <c r="D76" t="n" s="10534">
        <v>288.0</v>
      </c>
      <c r="E76" t="n" s="10535">
        <v>4.0</v>
      </c>
      <c r="F76" t="n" s="10536">
        <v>50.0</v>
      </c>
      <c r="G76" t="n" s="10537">
        <v>0.0</v>
      </c>
      <c r="H76" t="n" s="10538">
        <v>3.0</v>
      </c>
      <c r="I76" t="n" s="10539">
        <v>261.0</v>
      </c>
      <c r="J76" s="10540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0541">
        <v>0.0</v>
      </c>
      <c r="L76" t="n" s="10542">
        <v>4.0</v>
      </c>
      <c r="M76" t="n" s="10543">
        <v>8.0</v>
      </c>
      <c r="N76" t="n" s="10544">
        <v>3.0</v>
      </c>
      <c r="O76" t="n" s="10545">
        <v>3.0</v>
      </c>
      <c r="P76" s="10546">
        <f>IF(HLOOKUP("Shots",A1:CV300,76,FALSE)=0,0,HLOOKUP("SIB",A1:CV300,76,FALSE)/HLOOKUP("Shots",A1:CV300,76,FALSE))</f>
      </c>
      <c r="Q76" t="n" s="10547">
        <v>2.0</v>
      </c>
      <c r="R76" s="10548">
        <f>IF(HLOOKUP("Shots",A1:CV300,76,FALSE)=0,0,HLOOKUP("S6YD",A1:CV300,76,FALSE)/HLOOKUP("Shots",A1:CV300,76,FALSE))</f>
      </c>
      <c r="S76" t="n" s="10549">
        <v>3.0</v>
      </c>
      <c r="T76" s="10550">
        <f>IF(HLOOKUP("Shots",A1:CV300,76,FALSE)=0,0,HLOOKUP("Headers",A1:CV300,76,FALSE)/HLOOKUP("Shots",A1:CV300,76,FALSE))</f>
      </c>
      <c r="U76" t="n" s="10551">
        <v>0.0</v>
      </c>
      <c r="V76" s="10552">
        <f>IF(HLOOKUP("Shots",A1:CV300,76,FALSE)=0,0,HLOOKUP("SOT",A1:CV300,76,FALSE)/HLOOKUP("Shots",A1:CV300,76,FALSE))</f>
      </c>
      <c r="W76" s="10553">
        <f>IF(HLOOKUP("Shots",A1:CV300,76,FALSE)=0,0,HLOOKUP("Gs",A1:CV300,76,FALSE)/HLOOKUP("Shots",A1:CV300,76,FALSE))</f>
      </c>
      <c r="X76" t="n" s="10554">
        <v>0.0</v>
      </c>
      <c r="Y76" t="n" s="10555">
        <v>0.0</v>
      </c>
      <c r="Z76" t="n" s="10556">
        <v>1.0</v>
      </c>
      <c r="AA76" s="10557">
        <f>IF(HLOOKUP("KP",A1:CV300,76,FALSE)=0,0,HLOOKUP("As",A1:CV300,76,FALSE)/HLOOKUP("KP",A1:CV300,76,FALSE))</f>
      </c>
      <c r="AB76" t="n" s="10558">
        <v>10.8</v>
      </c>
      <c r="AC76" t="n" s="10559">
        <v>0.0</v>
      </c>
      <c r="AD76" t="n" s="10560">
        <v>0.0</v>
      </c>
      <c r="AE76" t="n" s="10561">
        <v>1.0</v>
      </c>
      <c r="AF76" t="n" s="10562">
        <v>1.0</v>
      </c>
      <c r="AG76" s="10563">
        <f>IF(HLOOKUP("BC",A1:CV300,76,FALSE)=0,0,HLOOKUP("Gs - BC",A1:CV300,76,FALSE)/HLOOKUP("BC",A1:CV300,76,FALSE))</f>
      </c>
      <c r="AH76" s="10564">
        <f>HLOOKUP("BC",A1:CV300,76,FALSE) - HLOOKUP("BC Miss",A1:CV300,76,FALSE)</f>
      </c>
      <c r="AI76" s="10565">
        <f>IF(HLOOKUP("Gs",A1:CV300,76,FALSE)=0,0,HLOOKUP("Gs - BC",A1:CV300,76,FALSE)/HLOOKUP("Gs",A1:CV300,76,FALSE))</f>
      </c>
      <c r="AJ76" t="n" s="10566">
        <v>0.0</v>
      </c>
      <c r="AK76" t="n" s="10567">
        <v>0.0</v>
      </c>
      <c r="AL76" s="10568">
        <f>HLOOKUP("BC",A1:CV300,76,FALSE) - (HLOOKUP("PK Gs",A1:CV300,76,FALSE) + HLOOKUP("PK Miss",A1:CV300,76,FALSE))</f>
      </c>
      <c r="AM76" s="10569">
        <f>HLOOKUP("BC Miss",A1:CV300,76,FALSE) - HLOOKUP("PK Miss",A1:CV300,76,FALSE)</f>
      </c>
      <c r="AN76" s="10570">
        <f>IF(HLOOKUP("BC - Open",A1:CV300,76,FALSE)=0,0,HLOOKUP("BC - Open Miss",A1:CV300,76,FALSE)/HLOOKUP("BC - Open",A1:CV300,76,FALSE))</f>
      </c>
      <c r="AO76" t="n" s="10571">
        <v>0.0</v>
      </c>
      <c r="AP76" s="10572">
        <f>IF(HLOOKUP("Gs",A1:CV300,76,FALSE)=0,0,HLOOKUP("GIB",A1:CV300,76,FALSE)/HLOOKUP("Gs",A1:CV300,76,FALSE))</f>
      </c>
      <c r="AQ76" t="n" s="10573">
        <v>0.0</v>
      </c>
      <c r="AR76" s="10574">
        <f>IF(HLOOKUP("Gs",A1:CV300,76,FALSE)=0,0,HLOOKUP("Gs - Open",A1:CV300,76,FALSE)/HLOOKUP("Gs",A1:CV300,76,FALSE))</f>
      </c>
      <c r="AS76" t="n" s="10575">
        <v>0.42</v>
      </c>
      <c r="AT76" t="n" s="10576">
        <v>0.03</v>
      </c>
      <c r="AU76" s="10577">
        <f>IF(HLOOKUP("Mins",A1:CV300,76,FALSE)=0,0,HLOOKUP("Pts",A1:CV300,76,FALSE)/HLOOKUP("Mins",A1:CV300,76,FALSE)* 90)</f>
      </c>
      <c r="AV76" s="10578">
        <f>IF(HLOOKUP("Apps",A1:CV300,76,FALSE)=0,0,HLOOKUP("Pts",A1:CV300,76,FALSE)/HLOOKUP("Apps",A1:CV300,76,FALSE)* 1)</f>
      </c>
      <c r="AW76" s="10579">
        <f>IF(HLOOKUP("Mins",A1:CV300,76,FALSE)=0,0,HLOOKUP("Gs",A1:CV300,76,FALSE)/HLOOKUP("Mins",A1:CV300,76,FALSE)* 90)</f>
      </c>
      <c r="AX76" s="10580">
        <f>IF(HLOOKUP("Mins",A1:CV300,76,FALSE)=0,0,HLOOKUP("Bonus",A1:CV300,76,FALSE)/HLOOKUP("Mins",A1:CV300,76,FALSE)* 90)</f>
      </c>
      <c r="AY76" s="10581">
        <f>IF(HLOOKUP("Mins",A1:CV300,76,FALSE)=0,0,HLOOKUP("BPS",A1:CV300,76,FALSE)/HLOOKUP("Mins",A1:CV300,76,FALSE)* 90)</f>
      </c>
      <c r="AZ76" s="10582">
        <f>IF(HLOOKUP("Mins",A1:CV300,76,FALSE)=0,0,HLOOKUP("Base BPS",A1:CV300,76,FALSE)/HLOOKUP("Mins",A1:CV300,76,FALSE)* 90)</f>
      </c>
      <c r="BA76" s="10583">
        <f>IF(HLOOKUP("Mins",A1:CV300,76,FALSE)=0,0,HLOOKUP("PenTchs",A1:CV300,76,FALSE)/HLOOKUP("Mins",A1:CV300,76,FALSE)* 90)</f>
      </c>
      <c r="BB76" s="10584">
        <f>IF(HLOOKUP("Mins",A1:CV300,76,FALSE)=0,0,HLOOKUP("Shots",A1:CV300,76,FALSE)/HLOOKUP("Mins",A1:CV300,76,FALSE)* 90)</f>
      </c>
      <c r="BC76" s="10585">
        <f>IF(HLOOKUP("Mins",A1:CV300,76,FALSE)=0,0,HLOOKUP("SIB",A1:CV300,76,FALSE)/HLOOKUP("Mins",A1:CV300,76,FALSE)* 90)</f>
      </c>
      <c r="BD76" s="10586">
        <f>IF(HLOOKUP("Mins",A1:CV300,76,FALSE)=0,0,HLOOKUP("S6YD",A1:CV300,76,FALSE)/HLOOKUP("Mins",A1:CV300,76,FALSE)* 90)</f>
      </c>
      <c r="BE76" s="10587">
        <f>IF(HLOOKUP("Mins",A1:CV300,76,FALSE)=0,0,HLOOKUP("Headers",A1:CV300,76,FALSE)/HLOOKUP("Mins",A1:CV300,76,FALSE)* 90)</f>
      </c>
      <c r="BF76" s="10588">
        <f>IF(HLOOKUP("Mins",A1:CV300,76,FALSE)=0,0,HLOOKUP("SOT",A1:CV300,76,FALSE)/HLOOKUP("Mins",A1:CV300,76,FALSE)* 90)</f>
      </c>
      <c r="BG76" s="10589">
        <f>IF(HLOOKUP("Mins",A1:CV300,76,FALSE)=0,0,HLOOKUP("As",A1:CV300,76,FALSE)/HLOOKUP("Mins",A1:CV300,76,FALSE)* 90)</f>
      </c>
      <c r="BH76" s="10590">
        <f>IF(HLOOKUP("Mins",A1:CV300,76,FALSE)=0,0,HLOOKUP("FPL As",A1:CV300,76,FALSE)/HLOOKUP("Mins",A1:CV300,76,FALSE)* 90)</f>
      </c>
      <c r="BI76" s="10591">
        <f>IF(HLOOKUP("Mins",A1:CV300,76,FALSE)=0,0,HLOOKUP("BC Created",A1:CV300,76,FALSE)/HLOOKUP("Mins",A1:CV300,76,FALSE)* 90)</f>
      </c>
      <c r="BJ76" s="10592">
        <f>IF(HLOOKUP("Mins",A1:CV300,76,FALSE)=0,0,HLOOKUP("KP",A1:CV300,76,FALSE)/HLOOKUP("Mins",A1:CV300,76,FALSE)* 90)</f>
      </c>
      <c r="BK76" s="10593">
        <f>IF(HLOOKUP("Mins",A1:CV300,76,FALSE)=0,0,HLOOKUP("BC",A1:CV300,76,FALSE)/HLOOKUP("Mins",A1:CV300,76,FALSE)* 90)</f>
      </c>
      <c r="BL76" s="10594">
        <f>IF(HLOOKUP("Mins",A1:CV300,76,FALSE)=0,0,HLOOKUP("BC Miss",A1:CV300,76,FALSE)/HLOOKUP("Mins",A1:CV300,76,FALSE)* 90)</f>
      </c>
      <c r="BM76" s="10595">
        <f>IF(HLOOKUP("Mins",A1:CV300,76,FALSE)=0,0,HLOOKUP("Gs - BC",A1:CV300,76,FALSE)/HLOOKUP("Mins",A1:CV300,76,FALSE)* 90)</f>
      </c>
      <c r="BN76" s="10596">
        <f>IF(HLOOKUP("Mins",A1:CV300,76,FALSE)=0,0,HLOOKUP("GIB",A1:CV300,76,FALSE)/HLOOKUP("Mins",A1:CV300,76,FALSE)* 90)</f>
      </c>
      <c r="BO76" s="10597">
        <f>IF(HLOOKUP("Mins",A1:CV300,76,FALSE)=0,0,HLOOKUP("Gs - Open",A1:CV300,76,FALSE)/HLOOKUP("Mins",A1:CV300,76,FALSE)* 90)</f>
      </c>
      <c r="BP76" s="10598">
        <f>IF(HLOOKUP("Mins",A1:CV300,76,FALSE)=0,0,HLOOKUP("ICT Index",A1:CV300,76,FALSE)/HLOOKUP("Mins",A1:CV300,76,FALSE)* 90)</f>
      </c>
      <c r="BQ76" s="10599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0600">
        <f>0.0825*HLOOKUP("KP/90",A1:CV300,76,FALSE)</f>
      </c>
      <c r="BS76" s="10601">
        <f>6*HLOOKUP("xG/90",A1:CV300,76,FALSE)+3*HLOOKUP("xA/90",A1:CV300,76,FALSE)</f>
      </c>
      <c r="BT76" s="10602">
        <f>HLOOKUP("xPts/90",A1:CV300,76,FALSE)-(6*0.75*(HLOOKUP("PK Gs",A1:CV300,76,FALSE)+HLOOKUP("PK Miss",A1:CV300,76,FALSE))*90/HLOOKUP("Mins",A1:CV300,76,FALSE))</f>
      </c>
      <c r="BU76" s="10603">
        <f>IF(HLOOKUP("Mins",A1:CV300,76,FALSE)=0,0,HLOOKUP("fsXG",A1:CV300,76,FALSE)/HLOOKUP("Mins",A1:CV300,76,FALSE)* 90)</f>
      </c>
      <c r="BV76" s="10604">
        <f>IF(HLOOKUP("Mins",A1:CV300,76,FALSE)=0,0,HLOOKUP("fsXA",A1:CV300,76,FALSE)/HLOOKUP("Mins",A1:CV300,76,FALSE)* 90)</f>
      </c>
      <c r="BW76" s="10605">
        <f>6*HLOOKUP("fsXG/90",A1:CV300,76,FALSE)+3*HLOOKUP("fsXA/90",A1:CV300,76,FALSE)</f>
      </c>
      <c r="BX76" t="n" s="10606">
        <v>0.12368318438529968</v>
      </c>
      <c r="BY76" t="n" s="10607">
        <v>0.03941554203629494</v>
      </c>
      <c r="BZ76" s="10608">
        <f>6*HLOOKUP("uXG/90",A1:CV300,76,FALSE)+3*HLOOKUP("uXA/90",A1:CV300,76,FALSE)</f>
      </c>
    </row>
    <row r="77">
      <c r="A77" t="s" s="10609">
        <v>233</v>
      </c>
      <c r="B77" t="s" s="10610">
        <v>94</v>
      </c>
      <c r="C77" t="n" s="10611">
        <v>5.199999809265137</v>
      </c>
      <c r="D77" t="n" s="10612">
        <v>389.0</v>
      </c>
      <c r="E77" t="n" s="10613">
        <v>5.0</v>
      </c>
      <c r="F77" t="n" s="10614">
        <v>41.0</v>
      </c>
      <c r="G77" t="n" s="10615">
        <v>1.0</v>
      </c>
      <c r="H77" t="n" s="10616">
        <v>4.0</v>
      </c>
      <c r="I77" t="n" s="10617">
        <v>248.0</v>
      </c>
      <c r="J77" s="10618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0619">
        <v>0.0</v>
      </c>
      <c r="L77" t="n" s="10620">
        <v>2.0</v>
      </c>
      <c r="M77" t="n" s="10621">
        <v>3.0</v>
      </c>
      <c r="N77" t="n" s="10622">
        <v>3.0</v>
      </c>
      <c r="O77" t="n" s="10623">
        <v>3.0</v>
      </c>
      <c r="P77" s="10624">
        <f>IF(HLOOKUP("Shots",A1:CV300,77,FALSE)=0,0,HLOOKUP("SIB",A1:CV300,77,FALSE)/HLOOKUP("Shots",A1:CV300,77,FALSE))</f>
      </c>
      <c r="Q77" t="n" s="10625">
        <v>1.0</v>
      </c>
      <c r="R77" s="10626">
        <f>IF(HLOOKUP("Shots",A1:CV300,77,FALSE)=0,0,HLOOKUP("S6YD",A1:CV300,77,FALSE)/HLOOKUP("Shots",A1:CV300,77,FALSE))</f>
      </c>
      <c r="S77" t="n" s="10627">
        <v>2.0</v>
      </c>
      <c r="T77" s="10628">
        <f>IF(HLOOKUP("Shots",A1:CV300,77,FALSE)=0,0,HLOOKUP("Headers",A1:CV300,77,FALSE)/HLOOKUP("Shots",A1:CV300,77,FALSE))</f>
      </c>
      <c r="U77" t="n" s="10629">
        <v>2.0</v>
      </c>
      <c r="V77" s="10630">
        <f>IF(HLOOKUP("Shots",A1:CV300,77,FALSE)=0,0,HLOOKUP("SOT",A1:CV300,77,FALSE)/HLOOKUP("Shots",A1:CV300,77,FALSE))</f>
      </c>
      <c r="W77" s="10631">
        <f>IF(HLOOKUP("Shots",A1:CV300,77,FALSE)=0,0,HLOOKUP("Gs",A1:CV300,77,FALSE)/HLOOKUP("Shots",A1:CV300,77,FALSE))</f>
      </c>
      <c r="X77" t="n" s="10632">
        <v>0.0</v>
      </c>
      <c r="Y77" t="n" s="10633">
        <v>1.0</v>
      </c>
      <c r="Z77" t="n" s="10634">
        <v>1.0</v>
      </c>
      <c r="AA77" s="10635">
        <f>IF(HLOOKUP("KP",A1:CV300,77,FALSE)=0,0,HLOOKUP("As",A1:CV300,77,FALSE)/HLOOKUP("KP",A1:CV300,77,FALSE))</f>
      </c>
      <c r="AB77" t="n" s="10636">
        <v>18.6</v>
      </c>
      <c r="AC77" t="n" s="10637">
        <v>25.0</v>
      </c>
      <c r="AD77" t="n" s="10638">
        <v>1.0</v>
      </c>
      <c r="AE77" t="n" s="10639">
        <v>1.0</v>
      </c>
      <c r="AF77" t="n" s="10640">
        <v>1.0</v>
      </c>
      <c r="AG77" s="10641">
        <f>IF(HLOOKUP("BC",A1:CV300,77,FALSE)=0,0,HLOOKUP("Gs - BC",A1:CV300,77,FALSE)/HLOOKUP("BC",A1:CV300,77,FALSE))</f>
      </c>
      <c r="AH77" s="10642">
        <f>HLOOKUP("BC",A1:CV300,77,FALSE) - HLOOKUP("BC Miss",A1:CV300,77,FALSE)</f>
      </c>
      <c r="AI77" s="10643">
        <f>IF(HLOOKUP("Gs",A1:CV300,77,FALSE)=0,0,HLOOKUP("Gs - BC",A1:CV300,77,FALSE)/HLOOKUP("Gs",A1:CV300,77,FALSE))</f>
      </c>
      <c r="AJ77" t="n" s="10644">
        <v>0.0</v>
      </c>
      <c r="AK77" t="n" s="10645">
        <v>0.0</v>
      </c>
      <c r="AL77" s="10646">
        <f>HLOOKUP("BC",A1:CV300,77,FALSE) - (HLOOKUP("PK Gs",A1:CV300,77,FALSE) + HLOOKUP("PK Miss",A1:CV300,77,FALSE))</f>
      </c>
      <c r="AM77" s="10647">
        <f>HLOOKUP("BC Miss",A1:CV300,77,FALSE) - HLOOKUP("PK Miss",A1:CV300,77,FALSE)</f>
      </c>
      <c r="AN77" s="10648">
        <f>IF(HLOOKUP("BC - Open",A1:CV300,77,FALSE)=0,0,HLOOKUP("BC - Open Miss",A1:CV300,77,FALSE)/HLOOKUP("BC - Open",A1:CV300,77,FALSE))</f>
      </c>
      <c r="AO77" t="n" s="10649">
        <v>1.0</v>
      </c>
      <c r="AP77" s="10650">
        <f>IF(HLOOKUP("Gs",A1:CV300,77,FALSE)=0,0,HLOOKUP("GIB",A1:CV300,77,FALSE)/HLOOKUP("Gs",A1:CV300,77,FALSE))</f>
      </c>
      <c r="AQ77" t="n" s="10651">
        <v>0.0</v>
      </c>
      <c r="AR77" s="10652">
        <f>IF(HLOOKUP("Gs",A1:CV300,77,FALSE)=0,0,HLOOKUP("Gs - Open",A1:CV300,77,FALSE)/HLOOKUP("Gs",A1:CV300,77,FALSE))</f>
      </c>
      <c r="AS77" t="n" s="10653">
        <v>0.38</v>
      </c>
      <c r="AT77" t="n" s="10654">
        <v>0.16</v>
      </c>
      <c r="AU77" s="10655">
        <f>IF(HLOOKUP("Mins",A1:CV300,77,FALSE)=0,0,HLOOKUP("Pts",A1:CV300,77,FALSE)/HLOOKUP("Mins",A1:CV300,77,FALSE)* 90)</f>
      </c>
      <c r="AV77" s="10656">
        <f>IF(HLOOKUP("Apps",A1:CV300,77,FALSE)=0,0,HLOOKUP("Pts",A1:CV300,77,FALSE)/HLOOKUP("Apps",A1:CV300,77,FALSE)* 1)</f>
      </c>
      <c r="AW77" s="10657">
        <f>IF(HLOOKUP("Mins",A1:CV300,77,FALSE)=0,0,HLOOKUP("Gs",A1:CV300,77,FALSE)/HLOOKUP("Mins",A1:CV300,77,FALSE)* 90)</f>
      </c>
      <c r="AX77" s="10658">
        <f>IF(HLOOKUP("Mins",A1:CV300,77,FALSE)=0,0,HLOOKUP("Bonus",A1:CV300,77,FALSE)/HLOOKUP("Mins",A1:CV300,77,FALSE)* 90)</f>
      </c>
      <c r="AY77" s="10659">
        <f>IF(HLOOKUP("Mins",A1:CV300,77,FALSE)=0,0,HLOOKUP("BPS",A1:CV300,77,FALSE)/HLOOKUP("Mins",A1:CV300,77,FALSE)* 90)</f>
      </c>
      <c r="AZ77" s="10660">
        <f>IF(HLOOKUP("Mins",A1:CV300,77,FALSE)=0,0,HLOOKUP("Base BPS",A1:CV300,77,FALSE)/HLOOKUP("Mins",A1:CV300,77,FALSE)* 90)</f>
      </c>
      <c r="BA77" s="10661">
        <f>IF(HLOOKUP("Mins",A1:CV300,77,FALSE)=0,0,HLOOKUP("PenTchs",A1:CV300,77,FALSE)/HLOOKUP("Mins",A1:CV300,77,FALSE)* 90)</f>
      </c>
      <c r="BB77" s="10662">
        <f>IF(HLOOKUP("Mins",A1:CV300,77,FALSE)=0,0,HLOOKUP("Shots",A1:CV300,77,FALSE)/HLOOKUP("Mins",A1:CV300,77,FALSE)* 90)</f>
      </c>
      <c r="BC77" s="10663">
        <f>IF(HLOOKUP("Mins",A1:CV300,77,FALSE)=0,0,HLOOKUP("SIB",A1:CV300,77,FALSE)/HLOOKUP("Mins",A1:CV300,77,FALSE)* 90)</f>
      </c>
      <c r="BD77" s="10664">
        <f>IF(HLOOKUP("Mins",A1:CV300,77,FALSE)=0,0,HLOOKUP("S6YD",A1:CV300,77,FALSE)/HLOOKUP("Mins",A1:CV300,77,FALSE)* 90)</f>
      </c>
      <c r="BE77" s="10665">
        <f>IF(HLOOKUP("Mins",A1:CV300,77,FALSE)=0,0,HLOOKUP("Headers",A1:CV300,77,FALSE)/HLOOKUP("Mins",A1:CV300,77,FALSE)* 90)</f>
      </c>
      <c r="BF77" s="10666">
        <f>IF(HLOOKUP("Mins",A1:CV300,77,FALSE)=0,0,HLOOKUP("SOT",A1:CV300,77,FALSE)/HLOOKUP("Mins",A1:CV300,77,FALSE)* 90)</f>
      </c>
      <c r="BG77" s="10667">
        <f>IF(HLOOKUP("Mins",A1:CV300,77,FALSE)=0,0,HLOOKUP("As",A1:CV300,77,FALSE)/HLOOKUP("Mins",A1:CV300,77,FALSE)* 90)</f>
      </c>
      <c r="BH77" s="10668">
        <f>IF(HLOOKUP("Mins",A1:CV300,77,FALSE)=0,0,HLOOKUP("FPL As",A1:CV300,77,FALSE)/HLOOKUP("Mins",A1:CV300,77,FALSE)* 90)</f>
      </c>
      <c r="BI77" s="10669">
        <f>IF(HLOOKUP("Mins",A1:CV300,77,FALSE)=0,0,HLOOKUP("BC Created",A1:CV300,77,FALSE)/HLOOKUP("Mins",A1:CV300,77,FALSE)* 90)</f>
      </c>
      <c r="BJ77" s="10670">
        <f>IF(HLOOKUP("Mins",A1:CV300,77,FALSE)=0,0,HLOOKUP("KP",A1:CV300,77,FALSE)/HLOOKUP("Mins",A1:CV300,77,FALSE)* 90)</f>
      </c>
      <c r="BK77" s="10671">
        <f>IF(HLOOKUP("Mins",A1:CV300,77,FALSE)=0,0,HLOOKUP("BC",A1:CV300,77,FALSE)/HLOOKUP("Mins",A1:CV300,77,FALSE)* 90)</f>
      </c>
      <c r="BL77" s="10672">
        <f>IF(HLOOKUP("Mins",A1:CV300,77,FALSE)=0,0,HLOOKUP("BC Miss",A1:CV300,77,FALSE)/HLOOKUP("Mins",A1:CV300,77,FALSE)* 90)</f>
      </c>
      <c r="BM77" s="10673">
        <f>IF(HLOOKUP("Mins",A1:CV300,77,FALSE)=0,0,HLOOKUP("Gs - BC",A1:CV300,77,FALSE)/HLOOKUP("Mins",A1:CV300,77,FALSE)* 90)</f>
      </c>
      <c r="BN77" s="10674">
        <f>IF(HLOOKUP("Mins",A1:CV300,77,FALSE)=0,0,HLOOKUP("GIB",A1:CV300,77,FALSE)/HLOOKUP("Mins",A1:CV300,77,FALSE)* 90)</f>
      </c>
      <c r="BO77" s="10675">
        <f>IF(HLOOKUP("Mins",A1:CV300,77,FALSE)=0,0,HLOOKUP("Gs - Open",A1:CV300,77,FALSE)/HLOOKUP("Mins",A1:CV300,77,FALSE)* 90)</f>
      </c>
      <c r="BP77" s="10676">
        <f>IF(HLOOKUP("Mins",A1:CV300,77,FALSE)=0,0,HLOOKUP("ICT Index",A1:CV300,77,FALSE)/HLOOKUP("Mins",A1:CV300,77,FALSE)* 90)</f>
      </c>
      <c r="BQ77" s="10677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0678">
        <f>0.0825*HLOOKUP("KP/90",A1:CV300,77,FALSE)</f>
      </c>
      <c r="BS77" s="10679">
        <f>6*HLOOKUP("xG/90",A1:CV300,77,FALSE)+3*HLOOKUP("xA/90",A1:CV300,77,FALSE)</f>
      </c>
      <c r="BT77" s="10680">
        <f>HLOOKUP("xPts/90",A1:CV300,77,FALSE)-(6*0.75*(HLOOKUP("PK Gs",A1:CV300,77,FALSE)+HLOOKUP("PK Miss",A1:CV300,77,FALSE))*90/HLOOKUP("Mins",A1:CV300,77,FALSE))</f>
      </c>
      <c r="BU77" s="10681">
        <f>IF(HLOOKUP("Mins",A1:CV300,77,FALSE)=0,0,HLOOKUP("fsXG",A1:CV300,77,FALSE)/HLOOKUP("Mins",A1:CV300,77,FALSE)* 90)</f>
      </c>
      <c r="BV77" s="10682">
        <f>IF(HLOOKUP("Mins",A1:CV300,77,FALSE)=0,0,HLOOKUP("fsXA",A1:CV300,77,FALSE)/HLOOKUP("Mins",A1:CV300,77,FALSE)* 90)</f>
      </c>
      <c r="BW77" s="10683">
        <f>6*HLOOKUP("fsXG/90",A1:CV300,77,FALSE)+3*HLOOKUP("fsXA/90",A1:CV300,77,FALSE)</f>
      </c>
      <c r="BX77" t="n" s="10684">
        <v>0.13739646971225739</v>
      </c>
      <c r="BY77" t="n" s="10685">
        <v>0.09039533883333206</v>
      </c>
      <c r="BZ77" s="10686">
        <f>6*HLOOKUP("uXG/90",A1:CV300,77,FALSE)+3*HLOOKUP("uXA/90",A1:CV300,77,FALSE)</f>
      </c>
    </row>
    <row r="78">
      <c r="A78" t="s" s="10687">
        <v>234</v>
      </c>
      <c r="B78" t="s" s="10688">
        <v>109</v>
      </c>
      <c r="C78" t="n" s="10689">
        <v>4.5</v>
      </c>
      <c r="D78" t="n" s="10690">
        <v>382.0</v>
      </c>
      <c r="E78" t="n" s="10691">
        <v>5.0</v>
      </c>
      <c r="F78" t="n" s="10692">
        <v>47.0</v>
      </c>
      <c r="G78" t="n" s="10693">
        <v>0.0</v>
      </c>
      <c r="H78" t="n" s="10694">
        <v>0.0</v>
      </c>
      <c r="I78" t="n" s="10695">
        <v>313.0</v>
      </c>
      <c r="J78" s="10696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0697">
        <v>0.0</v>
      </c>
      <c r="L78" t="n" s="10698">
        <v>5.0</v>
      </c>
      <c r="M78" t="n" s="10699">
        <v>3.0</v>
      </c>
      <c r="N78" t="n" s="10700">
        <v>0.0</v>
      </c>
      <c r="O78" t="n" s="10701">
        <v>0.0</v>
      </c>
      <c r="P78" s="10702">
        <f>IF(HLOOKUP("Shots",A1:CV300,78,FALSE)=0,0,HLOOKUP("SIB",A1:CV300,78,FALSE)/HLOOKUP("Shots",A1:CV300,78,FALSE))</f>
      </c>
      <c r="Q78" t="n" s="10703">
        <v>0.0</v>
      </c>
      <c r="R78" s="10704">
        <f>IF(HLOOKUP("Shots",A1:CV300,78,FALSE)=0,0,HLOOKUP("S6YD",A1:CV300,78,FALSE)/HLOOKUP("Shots",A1:CV300,78,FALSE))</f>
      </c>
      <c r="S78" t="n" s="10705">
        <v>0.0</v>
      </c>
      <c r="T78" s="10706">
        <f>IF(HLOOKUP("Shots",A1:CV300,78,FALSE)=0,0,HLOOKUP("Headers",A1:CV300,78,FALSE)/HLOOKUP("Shots",A1:CV300,78,FALSE))</f>
      </c>
      <c r="U78" t="n" s="10707">
        <v>0.0</v>
      </c>
      <c r="V78" s="10708">
        <f>IF(HLOOKUP("Shots",A1:CV300,78,FALSE)=0,0,HLOOKUP("SOT",A1:CV300,78,FALSE)/HLOOKUP("Shots",A1:CV300,78,FALSE))</f>
      </c>
      <c r="W78" s="10709">
        <f>IF(HLOOKUP("Shots",A1:CV300,78,FALSE)=0,0,HLOOKUP("Gs",A1:CV300,78,FALSE)/HLOOKUP("Shots",A1:CV300,78,FALSE))</f>
      </c>
      <c r="X78" t="n" s="10710">
        <v>0.0</v>
      </c>
      <c r="Y78" t="n" s="10711">
        <v>0.0</v>
      </c>
      <c r="Z78" t="n" s="10712">
        <v>2.0</v>
      </c>
      <c r="AA78" s="10713">
        <f>IF(HLOOKUP("KP",A1:CV300,78,FALSE)=0,0,HLOOKUP("As",A1:CV300,78,FALSE)/HLOOKUP("KP",A1:CV300,78,FALSE))</f>
      </c>
      <c r="AB78" t="n" s="10714">
        <v>12.5</v>
      </c>
      <c r="AC78" t="n" s="10715">
        <v>0.0</v>
      </c>
      <c r="AD78" t="n" s="10716">
        <v>0.0</v>
      </c>
      <c r="AE78" t="n" s="10717">
        <v>0.0</v>
      </c>
      <c r="AF78" t="n" s="10718">
        <v>0.0</v>
      </c>
      <c r="AG78" s="10719">
        <f>IF(HLOOKUP("BC",A1:CV300,78,FALSE)=0,0,HLOOKUP("Gs - BC",A1:CV300,78,FALSE)/HLOOKUP("BC",A1:CV300,78,FALSE))</f>
      </c>
      <c r="AH78" s="10720">
        <f>HLOOKUP("BC",A1:CV300,78,FALSE) - HLOOKUP("BC Miss",A1:CV300,78,FALSE)</f>
      </c>
      <c r="AI78" s="10721">
        <f>IF(HLOOKUP("Gs",A1:CV300,78,FALSE)=0,0,HLOOKUP("Gs - BC",A1:CV300,78,FALSE)/HLOOKUP("Gs",A1:CV300,78,FALSE))</f>
      </c>
      <c r="AJ78" t="n" s="10722">
        <v>0.0</v>
      </c>
      <c r="AK78" t="n" s="10723">
        <v>0.0</v>
      </c>
      <c r="AL78" s="10724">
        <f>HLOOKUP("BC",A1:CV300,78,FALSE) - (HLOOKUP("PK Gs",A1:CV300,78,FALSE) + HLOOKUP("PK Miss",A1:CV300,78,FALSE))</f>
      </c>
      <c r="AM78" s="10725">
        <f>HLOOKUP("BC Miss",A1:CV300,78,FALSE) - HLOOKUP("PK Miss",A1:CV300,78,FALSE)</f>
      </c>
      <c r="AN78" s="10726">
        <f>IF(HLOOKUP("BC - Open",A1:CV300,78,FALSE)=0,0,HLOOKUP("BC - Open Miss",A1:CV300,78,FALSE)/HLOOKUP("BC - Open",A1:CV300,78,FALSE))</f>
      </c>
      <c r="AO78" t="n" s="10727">
        <v>0.0</v>
      </c>
      <c r="AP78" s="10728">
        <f>IF(HLOOKUP("Gs",A1:CV300,78,FALSE)=0,0,HLOOKUP("GIB",A1:CV300,78,FALSE)/HLOOKUP("Gs",A1:CV300,78,FALSE))</f>
      </c>
      <c r="AQ78" t="n" s="10729">
        <v>0.0</v>
      </c>
      <c r="AR78" s="10730">
        <f>IF(HLOOKUP("Gs",A1:CV300,78,FALSE)=0,0,HLOOKUP("Gs - Open",A1:CV300,78,FALSE)/HLOOKUP("Gs",A1:CV300,78,FALSE))</f>
      </c>
      <c r="AS78" t="n" s="10731">
        <v>0.17</v>
      </c>
      <c r="AT78" t="n" s="10732">
        <v>0.11</v>
      </c>
      <c r="AU78" s="10733">
        <f>IF(HLOOKUP("Mins",A1:CV300,78,FALSE)=0,0,HLOOKUP("Pts",A1:CV300,78,FALSE)/HLOOKUP("Mins",A1:CV300,78,FALSE)* 90)</f>
      </c>
      <c r="AV78" s="10734">
        <f>IF(HLOOKUP("Apps",A1:CV300,78,FALSE)=0,0,HLOOKUP("Pts",A1:CV300,78,FALSE)/HLOOKUP("Apps",A1:CV300,78,FALSE)* 1)</f>
      </c>
      <c r="AW78" s="10735">
        <f>IF(HLOOKUP("Mins",A1:CV300,78,FALSE)=0,0,HLOOKUP("Gs",A1:CV300,78,FALSE)/HLOOKUP("Mins",A1:CV300,78,FALSE)* 90)</f>
      </c>
      <c r="AX78" s="10736">
        <f>IF(HLOOKUP("Mins",A1:CV300,78,FALSE)=0,0,HLOOKUP("Bonus",A1:CV300,78,FALSE)/HLOOKUP("Mins",A1:CV300,78,FALSE)* 90)</f>
      </c>
      <c r="AY78" s="10737">
        <f>IF(HLOOKUP("Mins",A1:CV300,78,FALSE)=0,0,HLOOKUP("BPS",A1:CV300,78,FALSE)/HLOOKUP("Mins",A1:CV300,78,FALSE)* 90)</f>
      </c>
      <c r="AZ78" s="10738">
        <f>IF(HLOOKUP("Mins",A1:CV300,78,FALSE)=0,0,HLOOKUP("Base BPS",A1:CV300,78,FALSE)/HLOOKUP("Mins",A1:CV300,78,FALSE)* 90)</f>
      </c>
      <c r="BA78" s="10739">
        <f>IF(HLOOKUP("Mins",A1:CV300,78,FALSE)=0,0,HLOOKUP("PenTchs",A1:CV300,78,FALSE)/HLOOKUP("Mins",A1:CV300,78,FALSE)* 90)</f>
      </c>
      <c r="BB78" s="10740">
        <f>IF(HLOOKUP("Mins",A1:CV300,78,FALSE)=0,0,HLOOKUP("Shots",A1:CV300,78,FALSE)/HLOOKUP("Mins",A1:CV300,78,FALSE)* 90)</f>
      </c>
      <c r="BC78" s="10741">
        <f>IF(HLOOKUP("Mins",A1:CV300,78,FALSE)=0,0,HLOOKUP("SIB",A1:CV300,78,FALSE)/HLOOKUP("Mins",A1:CV300,78,FALSE)* 90)</f>
      </c>
      <c r="BD78" s="10742">
        <f>IF(HLOOKUP("Mins",A1:CV300,78,FALSE)=0,0,HLOOKUP("S6YD",A1:CV300,78,FALSE)/HLOOKUP("Mins",A1:CV300,78,FALSE)* 90)</f>
      </c>
      <c r="BE78" s="10743">
        <f>IF(HLOOKUP("Mins",A1:CV300,78,FALSE)=0,0,HLOOKUP("Headers",A1:CV300,78,FALSE)/HLOOKUP("Mins",A1:CV300,78,FALSE)* 90)</f>
      </c>
      <c r="BF78" s="10744">
        <f>IF(HLOOKUP("Mins",A1:CV300,78,FALSE)=0,0,HLOOKUP("SOT",A1:CV300,78,FALSE)/HLOOKUP("Mins",A1:CV300,78,FALSE)* 90)</f>
      </c>
      <c r="BG78" s="10745">
        <f>IF(HLOOKUP("Mins",A1:CV300,78,FALSE)=0,0,HLOOKUP("As",A1:CV300,78,FALSE)/HLOOKUP("Mins",A1:CV300,78,FALSE)* 90)</f>
      </c>
      <c r="BH78" s="10746">
        <f>IF(HLOOKUP("Mins",A1:CV300,78,FALSE)=0,0,HLOOKUP("FPL As",A1:CV300,78,FALSE)/HLOOKUP("Mins",A1:CV300,78,FALSE)* 90)</f>
      </c>
      <c r="BI78" s="10747">
        <f>IF(HLOOKUP("Mins",A1:CV300,78,FALSE)=0,0,HLOOKUP("BC Created",A1:CV300,78,FALSE)/HLOOKUP("Mins",A1:CV300,78,FALSE)* 90)</f>
      </c>
      <c r="BJ78" s="10748">
        <f>IF(HLOOKUP("Mins",A1:CV300,78,FALSE)=0,0,HLOOKUP("KP",A1:CV300,78,FALSE)/HLOOKUP("Mins",A1:CV300,78,FALSE)* 90)</f>
      </c>
      <c r="BK78" s="10749">
        <f>IF(HLOOKUP("Mins",A1:CV300,78,FALSE)=0,0,HLOOKUP("BC",A1:CV300,78,FALSE)/HLOOKUP("Mins",A1:CV300,78,FALSE)* 90)</f>
      </c>
      <c r="BL78" s="10750">
        <f>IF(HLOOKUP("Mins",A1:CV300,78,FALSE)=0,0,HLOOKUP("BC Miss",A1:CV300,78,FALSE)/HLOOKUP("Mins",A1:CV300,78,FALSE)* 90)</f>
      </c>
      <c r="BM78" s="10751">
        <f>IF(HLOOKUP("Mins",A1:CV300,78,FALSE)=0,0,HLOOKUP("Gs - BC",A1:CV300,78,FALSE)/HLOOKUP("Mins",A1:CV300,78,FALSE)* 90)</f>
      </c>
      <c r="BN78" s="10752">
        <f>IF(HLOOKUP("Mins",A1:CV300,78,FALSE)=0,0,HLOOKUP("GIB",A1:CV300,78,FALSE)/HLOOKUP("Mins",A1:CV300,78,FALSE)* 90)</f>
      </c>
      <c r="BO78" s="10753">
        <f>IF(HLOOKUP("Mins",A1:CV300,78,FALSE)=0,0,HLOOKUP("Gs - Open",A1:CV300,78,FALSE)/HLOOKUP("Mins",A1:CV300,78,FALSE)* 90)</f>
      </c>
      <c r="BP78" s="10754">
        <f>IF(HLOOKUP("Mins",A1:CV300,78,FALSE)=0,0,HLOOKUP("ICT Index",A1:CV300,78,FALSE)/HLOOKUP("Mins",A1:CV300,78,FALSE)* 90)</f>
      </c>
      <c r="BQ78" s="10755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0756">
        <f>0.0825*HLOOKUP("KP/90",A1:CV300,78,FALSE)</f>
      </c>
      <c r="BS78" s="10757">
        <f>6*HLOOKUP("xG/90",A1:CV300,78,FALSE)+3*HLOOKUP("xA/90",A1:CV300,78,FALSE)</f>
      </c>
      <c r="BT78" s="10758">
        <f>HLOOKUP("xPts/90",A1:CV300,78,FALSE)-(6*0.75*(HLOOKUP("PK Gs",A1:CV300,78,FALSE)+HLOOKUP("PK Miss",A1:CV300,78,FALSE))*90/HLOOKUP("Mins",A1:CV300,78,FALSE))</f>
      </c>
      <c r="BU78" s="10759">
        <f>IF(HLOOKUP("Mins",A1:CV300,78,FALSE)=0,0,HLOOKUP("fsXG",A1:CV300,78,FALSE)/HLOOKUP("Mins",A1:CV300,78,FALSE)* 90)</f>
      </c>
      <c r="BV78" s="10760">
        <f>IF(HLOOKUP("Mins",A1:CV300,78,FALSE)=0,0,HLOOKUP("fsXA",A1:CV300,78,FALSE)/HLOOKUP("Mins",A1:CV300,78,FALSE)* 90)</f>
      </c>
      <c r="BW78" s="10761">
        <f>6*HLOOKUP("fsXG/90",A1:CV300,78,FALSE)+3*HLOOKUP("fsXA/90",A1:CV300,78,FALSE)</f>
      </c>
      <c r="BX78" t="n" s="10762">
        <v>0.0</v>
      </c>
      <c r="BY78" t="n" s="10763">
        <v>0.014338276349008083</v>
      </c>
      <c r="BZ78" s="10764">
        <f>6*HLOOKUP("uXG/90",A1:CV300,78,FALSE)+3*HLOOKUP("uXA/90",A1:CV300,78,FALSE)</f>
      </c>
    </row>
    <row r="79">
      <c r="A79" t="s" s="10765">
        <v>235</v>
      </c>
      <c r="B79" t="s" s="10766">
        <v>144</v>
      </c>
      <c r="C79" t="n" s="10767">
        <v>5.300000190734863</v>
      </c>
      <c r="D79" t="n" s="10768">
        <v>450.0</v>
      </c>
      <c r="E79" t="n" s="10769">
        <v>5.0</v>
      </c>
      <c r="F79" t="n" s="10770">
        <v>49.0</v>
      </c>
      <c r="G79" t="n" s="10771">
        <v>0.0</v>
      </c>
      <c r="H79" t="n" s="10772">
        <v>6.0</v>
      </c>
      <c r="I79" t="n" s="10773">
        <v>320.0</v>
      </c>
      <c r="J79" s="10774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0775">
        <v>0.0</v>
      </c>
      <c r="L79" t="n" s="10776">
        <v>3.0</v>
      </c>
      <c r="M79" t="n" s="10777">
        <v>5.0</v>
      </c>
      <c r="N79" t="n" s="10778">
        <v>0.0</v>
      </c>
      <c r="O79" t="n" s="10779">
        <v>0.0</v>
      </c>
      <c r="P79" s="10780">
        <f>IF(HLOOKUP("Shots",A1:CV300,79,FALSE)=0,0,HLOOKUP("SIB",A1:CV300,79,FALSE)/HLOOKUP("Shots",A1:CV300,79,FALSE))</f>
      </c>
      <c r="Q79" t="n" s="10781">
        <v>0.0</v>
      </c>
      <c r="R79" s="10782">
        <f>IF(HLOOKUP("Shots",A1:CV300,79,FALSE)=0,0,HLOOKUP("S6YD",A1:CV300,79,FALSE)/HLOOKUP("Shots",A1:CV300,79,FALSE))</f>
      </c>
      <c r="S79" t="n" s="10783">
        <v>0.0</v>
      </c>
      <c r="T79" s="10784">
        <f>IF(HLOOKUP("Shots",A1:CV300,79,FALSE)=0,0,HLOOKUP("Headers",A1:CV300,79,FALSE)/HLOOKUP("Shots",A1:CV300,79,FALSE))</f>
      </c>
      <c r="U79" t="n" s="10785">
        <v>0.0</v>
      </c>
      <c r="V79" s="10786">
        <f>IF(HLOOKUP("Shots",A1:CV300,79,FALSE)=0,0,HLOOKUP("SOT",A1:CV300,79,FALSE)/HLOOKUP("Shots",A1:CV300,79,FALSE))</f>
      </c>
      <c r="W79" s="10787">
        <f>IF(HLOOKUP("Shots",A1:CV300,79,FALSE)=0,0,HLOOKUP("Gs",A1:CV300,79,FALSE)/HLOOKUP("Shots",A1:CV300,79,FALSE))</f>
      </c>
      <c r="X79" t="n" s="10788">
        <v>1.0</v>
      </c>
      <c r="Y79" t="n" s="10789">
        <v>1.0</v>
      </c>
      <c r="Z79" t="n" s="10790">
        <v>1.0</v>
      </c>
      <c r="AA79" s="10791">
        <f>IF(HLOOKUP("KP",A1:CV300,79,FALSE)=0,0,HLOOKUP("As",A1:CV300,79,FALSE)/HLOOKUP("KP",A1:CV300,79,FALSE))</f>
      </c>
      <c r="AB79" t="n" s="10792">
        <v>15.4</v>
      </c>
      <c r="AC79" t="n" s="10793">
        <v>11.0</v>
      </c>
      <c r="AD79" t="n" s="10794">
        <v>1.0</v>
      </c>
      <c r="AE79" t="n" s="10795">
        <v>0.0</v>
      </c>
      <c r="AF79" t="n" s="10796">
        <v>0.0</v>
      </c>
      <c r="AG79" s="10797">
        <f>IF(HLOOKUP("BC",A1:CV300,79,FALSE)=0,0,HLOOKUP("Gs - BC",A1:CV300,79,FALSE)/HLOOKUP("BC",A1:CV300,79,FALSE))</f>
      </c>
      <c r="AH79" s="10798">
        <f>HLOOKUP("BC",A1:CV300,79,FALSE) - HLOOKUP("BC Miss",A1:CV300,79,FALSE)</f>
      </c>
      <c r="AI79" s="10799">
        <f>IF(HLOOKUP("Gs",A1:CV300,79,FALSE)=0,0,HLOOKUP("Gs - BC",A1:CV300,79,FALSE)/HLOOKUP("Gs",A1:CV300,79,FALSE))</f>
      </c>
      <c r="AJ79" t="n" s="10800">
        <v>0.0</v>
      </c>
      <c r="AK79" t="n" s="10801">
        <v>0.0</v>
      </c>
      <c r="AL79" s="10802">
        <f>HLOOKUP("BC",A1:CV300,79,FALSE) - (HLOOKUP("PK Gs",A1:CV300,79,FALSE) + HLOOKUP("PK Miss",A1:CV300,79,FALSE))</f>
      </c>
      <c r="AM79" s="10803">
        <f>HLOOKUP("BC Miss",A1:CV300,79,FALSE) - HLOOKUP("PK Miss",A1:CV300,79,FALSE)</f>
      </c>
      <c r="AN79" s="10804">
        <f>IF(HLOOKUP("BC - Open",A1:CV300,79,FALSE)=0,0,HLOOKUP("BC - Open Miss",A1:CV300,79,FALSE)/HLOOKUP("BC - Open",A1:CV300,79,FALSE))</f>
      </c>
      <c r="AO79" t="n" s="10805">
        <v>0.0</v>
      </c>
      <c r="AP79" s="10806">
        <f>IF(HLOOKUP("Gs",A1:CV300,79,FALSE)=0,0,HLOOKUP("GIB",A1:CV300,79,FALSE)/HLOOKUP("Gs",A1:CV300,79,FALSE))</f>
      </c>
      <c r="AQ79" t="n" s="10807">
        <v>0.0</v>
      </c>
      <c r="AR79" s="10808">
        <f>IF(HLOOKUP("Gs",A1:CV300,79,FALSE)=0,0,HLOOKUP("Gs - Open",A1:CV300,79,FALSE)/HLOOKUP("Gs",A1:CV300,79,FALSE))</f>
      </c>
      <c r="AS79" t="n" s="10809">
        <v>0.0</v>
      </c>
      <c r="AT79" t="n" s="10810">
        <v>0.34</v>
      </c>
      <c r="AU79" s="10811">
        <f>IF(HLOOKUP("Mins",A1:CV300,79,FALSE)=0,0,HLOOKUP("Pts",A1:CV300,79,FALSE)/HLOOKUP("Mins",A1:CV300,79,FALSE)* 90)</f>
      </c>
      <c r="AV79" s="10812">
        <f>IF(HLOOKUP("Apps",A1:CV300,79,FALSE)=0,0,HLOOKUP("Pts",A1:CV300,79,FALSE)/HLOOKUP("Apps",A1:CV300,79,FALSE)* 1)</f>
      </c>
      <c r="AW79" s="10813">
        <f>IF(HLOOKUP("Mins",A1:CV300,79,FALSE)=0,0,HLOOKUP("Gs",A1:CV300,79,FALSE)/HLOOKUP("Mins",A1:CV300,79,FALSE)* 90)</f>
      </c>
      <c r="AX79" s="10814">
        <f>IF(HLOOKUP("Mins",A1:CV300,79,FALSE)=0,0,HLOOKUP("Bonus",A1:CV300,79,FALSE)/HLOOKUP("Mins",A1:CV300,79,FALSE)* 90)</f>
      </c>
      <c r="AY79" s="10815">
        <f>IF(HLOOKUP("Mins",A1:CV300,79,FALSE)=0,0,HLOOKUP("BPS",A1:CV300,79,FALSE)/HLOOKUP("Mins",A1:CV300,79,FALSE)* 90)</f>
      </c>
      <c r="AZ79" s="10816">
        <f>IF(HLOOKUP("Mins",A1:CV300,79,FALSE)=0,0,HLOOKUP("Base BPS",A1:CV300,79,FALSE)/HLOOKUP("Mins",A1:CV300,79,FALSE)* 90)</f>
      </c>
      <c r="BA79" s="10817">
        <f>IF(HLOOKUP("Mins",A1:CV300,79,FALSE)=0,0,HLOOKUP("PenTchs",A1:CV300,79,FALSE)/HLOOKUP("Mins",A1:CV300,79,FALSE)* 90)</f>
      </c>
      <c r="BB79" s="10818">
        <f>IF(HLOOKUP("Mins",A1:CV300,79,FALSE)=0,0,HLOOKUP("Shots",A1:CV300,79,FALSE)/HLOOKUP("Mins",A1:CV300,79,FALSE)* 90)</f>
      </c>
      <c r="BC79" s="10819">
        <f>IF(HLOOKUP("Mins",A1:CV300,79,FALSE)=0,0,HLOOKUP("SIB",A1:CV300,79,FALSE)/HLOOKUP("Mins",A1:CV300,79,FALSE)* 90)</f>
      </c>
      <c r="BD79" s="10820">
        <f>IF(HLOOKUP("Mins",A1:CV300,79,FALSE)=0,0,HLOOKUP("S6YD",A1:CV300,79,FALSE)/HLOOKUP("Mins",A1:CV300,79,FALSE)* 90)</f>
      </c>
      <c r="BE79" s="10821">
        <f>IF(HLOOKUP("Mins",A1:CV300,79,FALSE)=0,0,HLOOKUP("Headers",A1:CV300,79,FALSE)/HLOOKUP("Mins",A1:CV300,79,FALSE)* 90)</f>
      </c>
      <c r="BF79" s="10822">
        <f>IF(HLOOKUP("Mins",A1:CV300,79,FALSE)=0,0,HLOOKUP("SOT",A1:CV300,79,FALSE)/HLOOKUP("Mins",A1:CV300,79,FALSE)* 90)</f>
      </c>
      <c r="BG79" s="10823">
        <f>IF(HLOOKUP("Mins",A1:CV300,79,FALSE)=0,0,HLOOKUP("As",A1:CV300,79,FALSE)/HLOOKUP("Mins",A1:CV300,79,FALSE)* 90)</f>
      </c>
      <c r="BH79" s="10824">
        <f>IF(HLOOKUP("Mins",A1:CV300,79,FALSE)=0,0,HLOOKUP("FPL As",A1:CV300,79,FALSE)/HLOOKUP("Mins",A1:CV300,79,FALSE)* 90)</f>
      </c>
      <c r="BI79" s="10825">
        <f>IF(HLOOKUP("Mins",A1:CV300,79,FALSE)=0,0,HLOOKUP("BC Created",A1:CV300,79,FALSE)/HLOOKUP("Mins",A1:CV300,79,FALSE)* 90)</f>
      </c>
      <c r="BJ79" s="10826">
        <f>IF(HLOOKUP("Mins",A1:CV300,79,FALSE)=0,0,HLOOKUP("KP",A1:CV300,79,FALSE)/HLOOKUP("Mins",A1:CV300,79,FALSE)* 90)</f>
      </c>
      <c r="BK79" s="10827">
        <f>IF(HLOOKUP("Mins",A1:CV300,79,FALSE)=0,0,HLOOKUP("BC",A1:CV300,79,FALSE)/HLOOKUP("Mins",A1:CV300,79,FALSE)* 90)</f>
      </c>
      <c r="BL79" s="10828">
        <f>IF(HLOOKUP("Mins",A1:CV300,79,FALSE)=0,0,HLOOKUP("BC Miss",A1:CV300,79,FALSE)/HLOOKUP("Mins",A1:CV300,79,FALSE)* 90)</f>
      </c>
      <c r="BM79" s="10829">
        <f>IF(HLOOKUP("Mins",A1:CV300,79,FALSE)=0,0,HLOOKUP("Gs - BC",A1:CV300,79,FALSE)/HLOOKUP("Mins",A1:CV300,79,FALSE)* 90)</f>
      </c>
      <c r="BN79" s="10830">
        <f>IF(HLOOKUP("Mins",A1:CV300,79,FALSE)=0,0,HLOOKUP("GIB",A1:CV300,79,FALSE)/HLOOKUP("Mins",A1:CV300,79,FALSE)* 90)</f>
      </c>
      <c r="BO79" s="10831">
        <f>IF(HLOOKUP("Mins",A1:CV300,79,FALSE)=0,0,HLOOKUP("Gs - Open",A1:CV300,79,FALSE)/HLOOKUP("Mins",A1:CV300,79,FALSE)* 90)</f>
      </c>
      <c r="BP79" s="10832">
        <f>IF(HLOOKUP("Mins",A1:CV300,79,FALSE)=0,0,HLOOKUP("ICT Index",A1:CV300,79,FALSE)/HLOOKUP("Mins",A1:CV300,79,FALSE)* 90)</f>
      </c>
      <c r="BQ79" s="10833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0834">
        <f>0.0825*HLOOKUP("KP/90",A1:CV300,79,FALSE)</f>
      </c>
      <c r="BS79" s="10835">
        <f>6*HLOOKUP("xG/90",A1:CV300,79,FALSE)+3*HLOOKUP("xA/90",A1:CV300,79,FALSE)</f>
      </c>
      <c r="BT79" s="10836">
        <f>HLOOKUP("xPts/90",A1:CV300,79,FALSE)-(6*0.75*(HLOOKUP("PK Gs",A1:CV300,79,FALSE)+HLOOKUP("PK Miss",A1:CV300,79,FALSE))*90/HLOOKUP("Mins",A1:CV300,79,FALSE))</f>
      </c>
      <c r="BU79" s="10837">
        <f>IF(HLOOKUP("Mins",A1:CV300,79,FALSE)=0,0,HLOOKUP("fsXG",A1:CV300,79,FALSE)/HLOOKUP("Mins",A1:CV300,79,FALSE)* 90)</f>
      </c>
      <c r="BV79" s="10838">
        <f>IF(HLOOKUP("Mins",A1:CV300,79,FALSE)=0,0,HLOOKUP("fsXA",A1:CV300,79,FALSE)/HLOOKUP("Mins",A1:CV300,79,FALSE)* 90)</f>
      </c>
      <c r="BW79" s="10839">
        <f>6*HLOOKUP("fsXG/90",A1:CV300,79,FALSE)+3*HLOOKUP("fsXA/90",A1:CV300,79,FALSE)</f>
      </c>
      <c r="BX79" t="n" s="10840">
        <v>0.0</v>
      </c>
      <c r="BY79" t="n" s="10841">
        <v>0.07730253785848618</v>
      </c>
      <c r="BZ79" s="10842">
        <f>6*HLOOKUP("uXG/90",A1:CV300,79,FALSE)+3*HLOOKUP("uXA/90",A1:CV300,79,FALSE)</f>
      </c>
    </row>
    <row r="80">
      <c r="A80" t="s" s="10843">
        <v>236</v>
      </c>
      <c r="B80" t="s" s="10844">
        <v>147</v>
      </c>
      <c r="C80" t="n" s="10845">
        <v>5.800000190734863</v>
      </c>
      <c r="D80" t="n" s="10846">
        <v>530.0</v>
      </c>
      <c r="E80" t="n" s="10847">
        <v>6.0</v>
      </c>
      <c r="F80" t="n" s="10848">
        <v>68.0</v>
      </c>
      <c r="G80" t="n" s="10849">
        <v>1.0</v>
      </c>
      <c r="H80" t="n" s="10850">
        <v>7.0</v>
      </c>
      <c r="I80" t="n" s="10851">
        <v>366.0</v>
      </c>
      <c r="J80" s="10852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0853">
        <v>0.0</v>
      </c>
      <c r="L80" t="n" s="10854">
        <v>4.0</v>
      </c>
      <c r="M80" t="n" s="10855">
        <v>25.0</v>
      </c>
      <c r="N80" t="n" s="10856">
        <v>6.0</v>
      </c>
      <c r="O80" t="n" s="10857">
        <v>6.0</v>
      </c>
      <c r="P80" s="10858">
        <f>IF(HLOOKUP("Shots",A1:CV300,80,FALSE)=0,0,HLOOKUP("SIB",A1:CV300,80,FALSE)/HLOOKUP("Shots",A1:CV300,80,FALSE))</f>
      </c>
      <c r="Q80" t="n" s="10859">
        <v>2.0</v>
      </c>
      <c r="R80" s="10860">
        <f>IF(HLOOKUP("Shots",A1:CV300,80,FALSE)=0,0,HLOOKUP("S6YD",A1:CV300,80,FALSE)/HLOOKUP("Shots",A1:CV300,80,FALSE))</f>
      </c>
      <c r="S80" t="n" s="10861">
        <v>4.0</v>
      </c>
      <c r="T80" s="10862">
        <f>IF(HLOOKUP("Shots",A1:CV300,80,FALSE)=0,0,HLOOKUP("Headers",A1:CV300,80,FALSE)/HLOOKUP("Shots",A1:CV300,80,FALSE))</f>
      </c>
      <c r="U80" t="n" s="10863">
        <v>1.0</v>
      </c>
      <c r="V80" s="10864">
        <f>IF(HLOOKUP("Shots",A1:CV300,80,FALSE)=0,0,HLOOKUP("SOT",A1:CV300,80,FALSE)/HLOOKUP("Shots",A1:CV300,80,FALSE))</f>
      </c>
      <c r="W80" s="10865">
        <f>IF(HLOOKUP("Shots",A1:CV300,80,FALSE)=0,0,HLOOKUP("Gs",A1:CV300,80,FALSE)/HLOOKUP("Shots",A1:CV300,80,FALSE))</f>
      </c>
      <c r="X80" t="n" s="10866">
        <v>1.0</v>
      </c>
      <c r="Y80" t="n" s="10867">
        <v>3.0</v>
      </c>
      <c r="Z80" t="n" s="10868">
        <v>6.0</v>
      </c>
      <c r="AA80" s="10869">
        <f>IF(HLOOKUP("KP",A1:CV300,80,FALSE)=0,0,HLOOKUP("As",A1:CV300,80,FALSE)/HLOOKUP("KP",A1:CV300,80,FALSE))</f>
      </c>
      <c r="AB80" t="n" s="10870">
        <v>37.2</v>
      </c>
      <c r="AC80" t="n" s="10871">
        <v>25.0</v>
      </c>
      <c r="AD80" t="n" s="10872">
        <v>2.0</v>
      </c>
      <c r="AE80" t="n" s="10873">
        <v>1.0</v>
      </c>
      <c r="AF80" t="n" s="10874">
        <v>0.0</v>
      </c>
      <c r="AG80" s="10875">
        <f>IF(HLOOKUP("BC",A1:CV300,80,FALSE)=0,0,HLOOKUP("Gs - BC",A1:CV300,80,FALSE)/HLOOKUP("BC",A1:CV300,80,FALSE))</f>
      </c>
      <c r="AH80" s="10876">
        <f>HLOOKUP("BC",A1:CV300,80,FALSE) - HLOOKUP("BC Miss",A1:CV300,80,FALSE)</f>
      </c>
      <c r="AI80" s="10877">
        <f>IF(HLOOKUP("Gs",A1:CV300,80,FALSE)=0,0,HLOOKUP("Gs - BC",A1:CV300,80,FALSE)/HLOOKUP("Gs",A1:CV300,80,FALSE))</f>
      </c>
      <c r="AJ80" t="n" s="10878">
        <v>0.0</v>
      </c>
      <c r="AK80" t="n" s="10879">
        <v>0.0</v>
      </c>
      <c r="AL80" s="10880">
        <f>HLOOKUP("BC",A1:CV300,80,FALSE) - (HLOOKUP("PK Gs",A1:CV300,80,FALSE) + HLOOKUP("PK Miss",A1:CV300,80,FALSE))</f>
      </c>
      <c r="AM80" s="10881">
        <f>HLOOKUP("BC Miss",A1:CV300,80,FALSE) - HLOOKUP("PK Miss",A1:CV300,80,FALSE)</f>
      </c>
      <c r="AN80" s="10882">
        <f>IF(HLOOKUP("BC - Open",A1:CV300,80,FALSE)=0,0,HLOOKUP("BC - Open Miss",A1:CV300,80,FALSE)/HLOOKUP("BC - Open",A1:CV300,80,FALSE))</f>
      </c>
      <c r="AO80" t="n" s="10883">
        <v>1.0</v>
      </c>
      <c r="AP80" s="10884">
        <f>IF(HLOOKUP("Gs",A1:CV300,80,FALSE)=0,0,HLOOKUP("GIB",A1:CV300,80,FALSE)/HLOOKUP("Gs",A1:CV300,80,FALSE))</f>
      </c>
      <c r="AQ80" t="n" s="10885">
        <v>0.0</v>
      </c>
      <c r="AR80" s="10886">
        <f>IF(HLOOKUP("Gs",A1:CV300,80,FALSE)=0,0,HLOOKUP("Gs - Open",A1:CV300,80,FALSE)/HLOOKUP("Gs",A1:CV300,80,FALSE))</f>
      </c>
      <c r="AS80" t="n" s="10887">
        <v>0.94</v>
      </c>
      <c r="AT80" t="n" s="10888">
        <v>0.8</v>
      </c>
      <c r="AU80" s="10889">
        <f>IF(HLOOKUP("Mins",A1:CV300,80,FALSE)=0,0,HLOOKUP("Pts",A1:CV300,80,FALSE)/HLOOKUP("Mins",A1:CV300,80,FALSE)* 90)</f>
      </c>
      <c r="AV80" s="10890">
        <f>IF(HLOOKUP("Apps",A1:CV300,80,FALSE)=0,0,HLOOKUP("Pts",A1:CV300,80,FALSE)/HLOOKUP("Apps",A1:CV300,80,FALSE)* 1)</f>
      </c>
      <c r="AW80" s="10891">
        <f>IF(HLOOKUP("Mins",A1:CV300,80,FALSE)=0,0,HLOOKUP("Gs",A1:CV300,80,FALSE)/HLOOKUP("Mins",A1:CV300,80,FALSE)* 90)</f>
      </c>
      <c r="AX80" s="10892">
        <f>IF(HLOOKUP("Mins",A1:CV300,80,FALSE)=0,0,HLOOKUP("Bonus",A1:CV300,80,FALSE)/HLOOKUP("Mins",A1:CV300,80,FALSE)* 90)</f>
      </c>
      <c r="AY80" s="10893">
        <f>IF(HLOOKUP("Mins",A1:CV300,80,FALSE)=0,0,HLOOKUP("BPS",A1:CV300,80,FALSE)/HLOOKUP("Mins",A1:CV300,80,FALSE)* 90)</f>
      </c>
      <c r="AZ80" s="10894">
        <f>IF(HLOOKUP("Mins",A1:CV300,80,FALSE)=0,0,HLOOKUP("Base BPS",A1:CV300,80,FALSE)/HLOOKUP("Mins",A1:CV300,80,FALSE)* 90)</f>
      </c>
      <c r="BA80" s="10895">
        <f>IF(HLOOKUP("Mins",A1:CV300,80,FALSE)=0,0,HLOOKUP("PenTchs",A1:CV300,80,FALSE)/HLOOKUP("Mins",A1:CV300,80,FALSE)* 90)</f>
      </c>
      <c r="BB80" s="10896">
        <f>IF(HLOOKUP("Mins",A1:CV300,80,FALSE)=0,0,HLOOKUP("Shots",A1:CV300,80,FALSE)/HLOOKUP("Mins",A1:CV300,80,FALSE)* 90)</f>
      </c>
      <c r="BC80" s="10897">
        <f>IF(HLOOKUP("Mins",A1:CV300,80,FALSE)=0,0,HLOOKUP("SIB",A1:CV300,80,FALSE)/HLOOKUP("Mins",A1:CV300,80,FALSE)* 90)</f>
      </c>
      <c r="BD80" s="10898">
        <f>IF(HLOOKUP("Mins",A1:CV300,80,FALSE)=0,0,HLOOKUP("S6YD",A1:CV300,80,FALSE)/HLOOKUP("Mins",A1:CV300,80,FALSE)* 90)</f>
      </c>
      <c r="BE80" s="10899">
        <f>IF(HLOOKUP("Mins",A1:CV300,80,FALSE)=0,0,HLOOKUP("Headers",A1:CV300,80,FALSE)/HLOOKUP("Mins",A1:CV300,80,FALSE)* 90)</f>
      </c>
      <c r="BF80" s="10900">
        <f>IF(HLOOKUP("Mins",A1:CV300,80,FALSE)=0,0,HLOOKUP("SOT",A1:CV300,80,FALSE)/HLOOKUP("Mins",A1:CV300,80,FALSE)* 90)</f>
      </c>
      <c r="BG80" s="10901">
        <f>IF(HLOOKUP("Mins",A1:CV300,80,FALSE)=0,0,HLOOKUP("As",A1:CV300,80,FALSE)/HLOOKUP("Mins",A1:CV300,80,FALSE)* 90)</f>
      </c>
      <c r="BH80" s="10902">
        <f>IF(HLOOKUP("Mins",A1:CV300,80,FALSE)=0,0,HLOOKUP("FPL As",A1:CV300,80,FALSE)/HLOOKUP("Mins",A1:CV300,80,FALSE)* 90)</f>
      </c>
      <c r="BI80" s="10903">
        <f>IF(HLOOKUP("Mins",A1:CV300,80,FALSE)=0,0,HLOOKUP("BC Created",A1:CV300,80,FALSE)/HLOOKUP("Mins",A1:CV300,80,FALSE)* 90)</f>
      </c>
      <c r="BJ80" s="10904">
        <f>IF(HLOOKUP("Mins",A1:CV300,80,FALSE)=0,0,HLOOKUP("KP",A1:CV300,80,FALSE)/HLOOKUP("Mins",A1:CV300,80,FALSE)* 90)</f>
      </c>
      <c r="BK80" s="10905">
        <f>IF(HLOOKUP("Mins",A1:CV300,80,FALSE)=0,0,HLOOKUP("BC",A1:CV300,80,FALSE)/HLOOKUP("Mins",A1:CV300,80,FALSE)* 90)</f>
      </c>
      <c r="BL80" s="10906">
        <f>IF(HLOOKUP("Mins",A1:CV300,80,FALSE)=0,0,HLOOKUP("BC Miss",A1:CV300,80,FALSE)/HLOOKUP("Mins",A1:CV300,80,FALSE)* 90)</f>
      </c>
      <c r="BM80" s="10907">
        <f>IF(HLOOKUP("Mins",A1:CV300,80,FALSE)=0,0,HLOOKUP("Gs - BC",A1:CV300,80,FALSE)/HLOOKUP("Mins",A1:CV300,80,FALSE)* 90)</f>
      </c>
      <c r="BN80" s="10908">
        <f>IF(HLOOKUP("Mins",A1:CV300,80,FALSE)=0,0,HLOOKUP("GIB",A1:CV300,80,FALSE)/HLOOKUP("Mins",A1:CV300,80,FALSE)* 90)</f>
      </c>
      <c r="BO80" s="10909">
        <f>IF(HLOOKUP("Mins",A1:CV300,80,FALSE)=0,0,HLOOKUP("Gs - Open",A1:CV300,80,FALSE)/HLOOKUP("Mins",A1:CV300,80,FALSE)* 90)</f>
      </c>
      <c r="BP80" s="10910">
        <f>IF(HLOOKUP("Mins",A1:CV300,80,FALSE)=0,0,HLOOKUP("ICT Index",A1:CV300,80,FALSE)/HLOOKUP("Mins",A1:CV300,80,FALSE)* 90)</f>
      </c>
      <c r="BQ80" s="10911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0912">
        <f>0.0825*HLOOKUP("KP/90",A1:CV300,80,FALSE)</f>
      </c>
      <c r="BS80" s="10913">
        <f>6*HLOOKUP("xG/90",A1:CV300,80,FALSE)+3*HLOOKUP("xA/90",A1:CV300,80,FALSE)</f>
      </c>
      <c r="BT80" s="10914">
        <f>HLOOKUP("xPts/90",A1:CV300,80,FALSE)-(6*0.75*(HLOOKUP("PK Gs",A1:CV300,80,FALSE)+HLOOKUP("PK Miss",A1:CV300,80,FALSE))*90/HLOOKUP("Mins",A1:CV300,80,FALSE))</f>
      </c>
      <c r="BU80" s="10915">
        <f>IF(HLOOKUP("Mins",A1:CV300,80,FALSE)=0,0,HLOOKUP("fsXG",A1:CV300,80,FALSE)/HLOOKUP("Mins",A1:CV300,80,FALSE)* 90)</f>
      </c>
      <c r="BV80" s="10916">
        <f>IF(HLOOKUP("Mins",A1:CV300,80,FALSE)=0,0,HLOOKUP("fsXA",A1:CV300,80,FALSE)/HLOOKUP("Mins",A1:CV300,80,FALSE)* 90)</f>
      </c>
      <c r="BW80" s="10917">
        <f>6*HLOOKUP("fsXG/90",A1:CV300,80,FALSE)+3*HLOOKUP("fsXA/90",A1:CV300,80,FALSE)</f>
      </c>
      <c r="BX80" t="n" s="10918">
        <v>0.17111806571483612</v>
      </c>
      <c r="BY80" t="n" s="10919">
        <v>0.2234845608472824</v>
      </c>
      <c r="BZ80" s="10920">
        <f>6*HLOOKUP("uXG/90",A1:CV300,80,FALSE)+3*HLOOKUP("uXA/90",A1:CV300,80,FALSE)</f>
      </c>
    </row>
    <row r="81">
      <c r="A81" t="s" s="10921">
        <v>237</v>
      </c>
      <c r="B81" t="s" s="10922">
        <v>117</v>
      </c>
      <c r="C81" t="n" s="10923">
        <v>4.199999809265137</v>
      </c>
      <c r="D81" t="n" s="10924">
        <v>420.0</v>
      </c>
      <c r="E81" t="n" s="10925">
        <v>5.0</v>
      </c>
      <c r="F81" t="n" s="10926">
        <v>29.0</v>
      </c>
      <c r="G81" t="n" s="10927">
        <v>0.0</v>
      </c>
      <c r="H81" t="n" s="10928">
        <v>0.0</v>
      </c>
      <c r="I81" t="n" s="10929">
        <v>231.0</v>
      </c>
      <c r="J81" s="10930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0931">
        <v>0.0</v>
      </c>
      <c r="L81" t="n" s="10932">
        <v>3.0</v>
      </c>
      <c r="M81" t="n" s="10933">
        <v>1.0</v>
      </c>
      <c r="N81" t="n" s="10934">
        <v>1.0</v>
      </c>
      <c r="O81" t="n" s="10935">
        <v>0.0</v>
      </c>
      <c r="P81" s="10936">
        <f>IF(HLOOKUP("Shots",A1:CV300,81,FALSE)=0,0,HLOOKUP("SIB",A1:CV300,81,FALSE)/HLOOKUP("Shots",A1:CV300,81,FALSE))</f>
      </c>
      <c r="Q81" t="n" s="10937">
        <v>0.0</v>
      </c>
      <c r="R81" s="10938">
        <f>IF(HLOOKUP("Shots",A1:CV300,81,FALSE)=0,0,HLOOKUP("S6YD",A1:CV300,81,FALSE)/HLOOKUP("Shots",A1:CV300,81,FALSE))</f>
      </c>
      <c r="S81" t="n" s="10939">
        <v>0.0</v>
      </c>
      <c r="T81" s="10940">
        <f>IF(HLOOKUP("Shots",A1:CV300,81,FALSE)=0,0,HLOOKUP("Headers",A1:CV300,81,FALSE)/HLOOKUP("Shots",A1:CV300,81,FALSE))</f>
      </c>
      <c r="U81" t="n" s="10941">
        <v>1.0</v>
      </c>
      <c r="V81" s="10942">
        <f>IF(HLOOKUP("Shots",A1:CV300,81,FALSE)=0,0,HLOOKUP("SOT",A1:CV300,81,FALSE)/HLOOKUP("Shots",A1:CV300,81,FALSE))</f>
      </c>
      <c r="W81" s="10943">
        <f>IF(HLOOKUP("Shots",A1:CV300,81,FALSE)=0,0,HLOOKUP("Gs",A1:CV300,81,FALSE)/HLOOKUP("Shots",A1:CV300,81,FALSE))</f>
      </c>
      <c r="X81" t="n" s="10944">
        <v>0.0</v>
      </c>
      <c r="Y81" t="n" s="10945">
        <v>0.0</v>
      </c>
      <c r="Z81" t="n" s="10946">
        <v>1.0</v>
      </c>
      <c r="AA81" s="10947">
        <f>IF(HLOOKUP("KP",A1:CV300,81,FALSE)=0,0,HLOOKUP("As",A1:CV300,81,FALSE)/HLOOKUP("KP",A1:CV300,81,FALSE))</f>
      </c>
      <c r="AB81" t="n" s="10948">
        <v>10.0</v>
      </c>
      <c r="AC81" t="n" s="10949">
        <v>0.0</v>
      </c>
      <c r="AD81" t="n" s="10950">
        <v>0.0</v>
      </c>
      <c r="AE81" t="n" s="10951">
        <v>0.0</v>
      </c>
      <c r="AF81" t="n" s="10952">
        <v>0.0</v>
      </c>
      <c r="AG81" s="10953">
        <f>IF(HLOOKUP("BC",A1:CV300,81,FALSE)=0,0,HLOOKUP("Gs - BC",A1:CV300,81,FALSE)/HLOOKUP("BC",A1:CV300,81,FALSE))</f>
      </c>
      <c r="AH81" s="10954">
        <f>HLOOKUP("BC",A1:CV300,81,FALSE) - HLOOKUP("BC Miss",A1:CV300,81,FALSE)</f>
      </c>
      <c r="AI81" s="10955">
        <f>IF(HLOOKUP("Gs",A1:CV300,81,FALSE)=0,0,HLOOKUP("Gs - BC",A1:CV300,81,FALSE)/HLOOKUP("Gs",A1:CV300,81,FALSE))</f>
      </c>
      <c r="AJ81" t="n" s="10956">
        <v>0.0</v>
      </c>
      <c r="AK81" t="n" s="10957">
        <v>0.0</v>
      </c>
      <c r="AL81" s="10958">
        <f>HLOOKUP("BC",A1:CV300,81,FALSE) - (HLOOKUP("PK Gs",A1:CV300,81,FALSE) + HLOOKUP("PK Miss",A1:CV300,81,FALSE))</f>
      </c>
      <c r="AM81" s="10959">
        <f>HLOOKUP("BC Miss",A1:CV300,81,FALSE) - HLOOKUP("PK Miss",A1:CV300,81,FALSE)</f>
      </c>
      <c r="AN81" s="10960">
        <f>IF(HLOOKUP("BC - Open",A1:CV300,81,FALSE)=0,0,HLOOKUP("BC - Open Miss",A1:CV300,81,FALSE)/HLOOKUP("BC - Open",A1:CV300,81,FALSE))</f>
      </c>
      <c r="AO81" t="n" s="10961">
        <v>0.0</v>
      </c>
      <c r="AP81" s="10962">
        <f>IF(HLOOKUP("Gs",A1:CV300,81,FALSE)=0,0,HLOOKUP("GIB",A1:CV300,81,FALSE)/HLOOKUP("Gs",A1:CV300,81,FALSE))</f>
      </c>
      <c r="AQ81" t="n" s="10963">
        <v>0.0</v>
      </c>
      <c r="AR81" s="10964">
        <f>IF(HLOOKUP("Gs",A1:CV300,81,FALSE)=0,0,HLOOKUP("Gs - Open",A1:CV300,81,FALSE)/HLOOKUP("Gs",A1:CV300,81,FALSE))</f>
      </c>
      <c r="AS81" t="n" s="10965">
        <v>0.02</v>
      </c>
      <c r="AT81" t="n" s="10966">
        <v>0.11</v>
      </c>
      <c r="AU81" s="10967">
        <f>IF(HLOOKUP("Mins",A1:CV300,81,FALSE)=0,0,HLOOKUP("Pts",A1:CV300,81,FALSE)/HLOOKUP("Mins",A1:CV300,81,FALSE)* 90)</f>
      </c>
      <c r="AV81" s="10968">
        <f>IF(HLOOKUP("Apps",A1:CV300,81,FALSE)=0,0,HLOOKUP("Pts",A1:CV300,81,FALSE)/HLOOKUP("Apps",A1:CV300,81,FALSE)* 1)</f>
      </c>
      <c r="AW81" s="10969">
        <f>IF(HLOOKUP("Mins",A1:CV300,81,FALSE)=0,0,HLOOKUP("Gs",A1:CV300,81,FALSE)/HLOOKUP("Mins",A1:CV300,81,FALSE)* 90)</f>
      </c>
      <c r="AX81" s="10970">
        <f>IF(HLOOKUP("Mins",A1:CV300,81,FALSE)=0,0,HLOOKUP("Bonus",A1:CV300,81,FALSE)/HLOOKUP("Mins",A1:CV300,81,FALSE)* 90)</f>
      </c>
      <c r="AY81" s="10971">
        <f>IF(HLOOKUP("Mins",A1:CV300,81,FALSE)=0,0,HLOOKUP("BPS",A1:CV300,81,FALSE)/HLOOKUP("Mins",A1:CV300,81,FALSE)* 90)</f>
      </c>
      <c r="AZ81" s="10972">
        <f>IF(HLOOKUP("Mins",A1:CV300,81,FALSE)=0,0,HLOOKUP("Base BPS",A1:CV300,81,FALSE)/HLOOKUP("Mins",A1:CV300,81,FALSE)* 90)</f>
      </c>
      <c r="BA81" s="10973">
        <f>IF(HLOOKUP("Mins",A1:CV300,81,FALSE)=0,0,HLOOKUP("PenTchs",A1:CV300,81,FALSE)/HLOOKUP("Mins",A1:CV300,81,FALSE)* 90)</f>
      </c>
      <c r="BB81" s="10974">
        <f>IF(HLOOKUP("Mins",A1:CV300,81,FALSE)=0,0,HLOOKUP("Shots",A1:CV300,81,FALSE)/HLOOKUP("Mins",A1:CV300,81,FALSE)* 90)</f>
      </c>
      <c r="BC81" s="10975">
        <f>IF(HLOOKUP("Mins",A1:CV300,81,FALSE)=0,0,HLOOKUP("SIB",A1:CV300,81,FALSE)/HLOOKUP("Mins",A1:CV300,81,FALSE)* 90)</f>
      </c>
      <c r="BD81" s="10976">
        <f>IF(HLOOKUP("Mins",A1:CV300,81,FALSE)=0,0,HLOOKUP("S6YD",A1:CV300,81,FALSE)/HLOOKUP("Mins",A1:CV300,81,FALSE)* 90)</f>
      </c>
      <c r="BE81" s="10977">
        <f>IF(HLOOKUP("Mins",A1:CV300,81,FALSE)=0,0,HLOOKUP("Headers",A1:CV300,81,FALSE)/HLOOKUP("Mins",A1:CV300,81,FALSE)* 90)</f>
      </c>
      <c r="BF81" s="10978">
        <f>IF(HLOOKUP("Mins",A1:CV300,81,FALSE)=0,0,HLOOKUP("SOT",A1:CV300,81,FALSE)/HLOOKUP("Mins",A1:CV300,81,FALSE)* 90)</f>
      </c>
      <c r="BG81" s="10979">
        <f>IF(HLOOKUP("Mins",A1:CV300,81,FALSE)=0,0,HLOOKUP("As",A1:CV300,81,FALSE)/HLOOKUP("Mins",A1:CV300,81,FALSE)* 90)</f>
      </c>
      <c r="BH81" s="10980">
        <f>IF(HLOOKUP("Mins",A1:CV300,81,FALSE)=0,0,HLOOKUP("FPL As",A1:CV300,81,FALSE)/HLOOKUP("Mins",A1:CV300,81,FALSE)* 90)</f>
      </c>
      <c r="BI81" s="10981">
        <f>IF(HLOOKUP("Mins",A1:CV300,81,FALSE)=0,0,HLOOKUP("BC Created",A1:CV300,81,FALSE)/HLOOKUP("Mins",A1:CV300,81,FALSE)* 90)</f>
      </c>
      <c r="BJ81" s="10982">
        <f>IF(HLOOKUP("Mins",A1:CV300,81,FALSE)=0,0,HLOOKUP("KP",A1:CV300,81,FALSE)/HLOOKUP("Mins",A1:CV300,81,FALSE)* 90)</f>
      </c>
      <c r="BK81" s="10983">
        <f>IF(HLOOKUP("Mins",A1:CV300,81,FALSE)=0,0,HLOOKUP("BC",A1:CV300,81,FALSE)/HLOOKUP("Mins",A1:CV300,81,FALSE)* 90)</f>
      </c>
      <c r="BL81" s="10984">
        <f>IF(HLOOKUP("Mins",A1:CV300,81,FALSE)=0,0,HLOOKUP("BC Miss",A1:CV300,81,FALSE)/HLOOKUP("Mins",A1:CV300,81,FALSE)* 90)</f>
      </c>
      <c r="BM81" s="10985">
        <f>IF(HLOOKUP("Mins",A1:CV300,81,FALSE)=0,0,HLOOKUP("Gs - BC",A1:CV300,81,FALSE)/HLOOKUP("Mins",A1:CV300,81,FALSE)* 90)</f>
      </c>
      <c r="BN81" s="10986">
        <f>IF(HLOOKUP("Mins",A1:CV300,81,FALSE)=0,0,HLOOKUP("GIB",A1:CV300,81,FALSE)/HLOOKUP("Mins",A1:CV300,81,FALSE)* 90)</f>
      </c>
      <c r="BO81" s="10987">
        <f>IF(HLOOKUP("Mins",A1:CV300,81,FALSE)=0,0,HLOOKUP("Gs - Open",A1:CV300,81,FALSE)/HLOOKUP("Mins",A1:CV300,81,FALSE)* 90)</f>
      </c>
      <c r="BP81" s="10988">
        <f>IF(HLOOKUP("Mins",A1:CV300,81,FALSE)=0,0,HLOOKUP("ICT Index",A1:CV300,81,FALSE)/HLOOKUP("Mins",A1:CV300,81,FALSE)* 90)</f>
      </c>
      <c r="BQ81" s="10989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0990">
        <f>0.0825*HLOOKUP("KP/90",A1:CV300,81,FALSE)</f>
      </c>
      <c r="BS81" s="10991">
        <f>6*HLOOKUP("xG/90",A1:CV300,81,FALSE)+3*HLOOKUP("xA/90",A1:CV300,81,FALSE)</f>
      </c>
      <c r="BT81" s="10992">
        <f>HLOOKUP("xPts/90",A1:CV300,81,FALSE)-(6*0.75*(HLOOKUP("PK Gs",A1:CV300,81,FALSE)+HLOOKUP("PK Miss",A1:CV300,81,FALSE))*90/HLOOKUP("Mins",A1:CV300,81,FALSE))</f>
      </c>
      <c r="BU81" s="10993">
        <f>IF(HLOOKUP("Mins",A1:CV300,81,FALSE)=0,0,HLOOKUP("fsXG",A1:CV300,81,FALSE)/HLOOKUP("Mins",A1:CV300,81,FALSE)* 90)</f>
      </c>
      <c r="BV81" s="10994">
        <f>IF(HLOOKUP("Mins",A1:CV300,81,FALSE)=0,0,HLOOKUP("fsXA",A1:CV300,81,FALSE)/HLOOKUP("Mins",A1:CV300,81,FALSE)* 90)</f>
      </c>
      <c r="BW81" s="10995">
        <f>6*HLOOKUP("fsXG/90",A1:CV300,81,FALSE)+3*HLOOKUP("fsXA/90",A1:CV300,81,FALSE)</f>
      </c>
      <c r="BX81" t="n" s="10996">
        <v>0.005363314878195524</v>
      </c>
      <c r="BY81" t="n" s="10997">
        <v>0.007207753602415323</v>
      </c>
      <c r="BZ81" s="10998">
        <f>6*HLOOKUP("uXG/90",A1:CV300,81,FALSE)+3*HLOOKUP("uXA/90",A1:CV300,81,FALSE)</f>
      </c>
    </row>
    <row r="82">
      <c r="A82" t="s" s="10999">
        <v>238</v>
      </c>
      <c r="B82" t="s" s="11000">
        <v>117</v>
      </c>
      <c r="C82" t="n" s="11001">
        <v>4.800000190734863</v>
      </c>
      <c r="D82" t="n" s="11002">
        <v>211.0</v>
      </c>
      <c r="E82" t="n" s="11003">
        <v>4.0</v>
      </c>
      <c r="F82" t="n" s="11004">
        <v>29.0</v>
      </c>
      <c r="G82" t="n" s="11005">
        <v>0.0</v>
      </c>
      <c r="H82" t="n" s="11006">
        <v>0.0</v>
      </c>
      <c r="I82" t="n" s="11007">
        <v>193.0</v>
      </c>
      <c r="J82" s="11008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1009">
        <v>0.0</v>
      </c>
      <c r="L82" t="n" s="11010">
        <v>3.0</v>
      </c>
      <c r="M82" t="n" s="11011">
        <v>1.0</v>
      </c>
      <c r="N82" t="n" s="11012">
        <v>0.0</v>
      </c>
      <c r="O82" t="n" s="11013">
        <v>0.0</v>
      </c>
      <c r="P82" s="11014">
        <f>IF(HLOOKUP("Shots",A1:CV300,82,FALSE)=0,0,HLOOKUP("SIB",A1:CV300,82,FALSE)/HLOOKUP("Shots",A1:CV300,82,FALSE))</f>
      </c>
      <c r="Q82" t="n" s="11015">
        <v>0.0</v>
      </c>
      <c r="R82" s="11016">
        <f>IF(HLOOKUP("Shots",A1:CV300,82,FALSE)=0,0,HLOOKUP("S6YD",A1:CV300,82,FALSE)/HLOOKUP("Shots",A1:CV300,82,FALSE))</f>
      </c>
      <c r="S82" t="n" s="11017">
        <v>0.0</v>
      </c>
      <c r="T82" s="11018">
        <f>IF(HLOOKUP("Shots",A1:CV300,82,FALSE)=0,0,HLOOKUP("Headers",A1:CV300,82,FALSE)/HLOOKUP("Shots",A1:CV300,82,FALSE))</f>
      </c>
      <c r="U82" t="n" s="11019">
        <v>0.0</v>
      </c>
      <c r="V82" s="11020">
        <f>IF(HLOOKUP("Shots",A1:CV300,82,FALSE)=0,0,HLOOKUP("SOT",A1:CV300,82,FALSE)/HLOOKUP("Shots",A1:CV300,82,FALSE))</f>
      </c>
      <c r="W82" s="11021">
        <f>IF(HLOOKUP("Shots",A1:CV300,82,FALSE)=0,0,HLOOKUP("Gs",A1:CV300,82,FALSE)/HLOOKUP("Shots",A1:CV300,82,FALSE))</f>
      </c>
      <c r="X82" t="n" s="11022">
        <v>0.0</v>
      </c>
      <c r="Y82" t="n" s="11023">
        <v>0.0</v>
      </c>
      <c r="Z82" t="n" s="11024">
        <v>0.0</v>
      </c>
      <c r="AA82" s="11025">
        <f>IF(HLOOKUP("KP",A1:CV300,82,FALSE)=0,0,HLOOKUP("As",A1:CV300,82,FALSE)/HLOOKUP("KP",A1:CV300,82,FALSE))</f>
      </c>
      <c r="AB82" t="n" s="11026">
        <v>5.1</v>
      </c>
      <c r="AC82" t="n" s="11027">
        <v>0.0</v>
      </c>
      <c r="AD82" t="n" s="11028">
        <v>0.0</v>
      </c>
      <c r="AE82" t="n" s="11029">
        <v>0.0</v>
      </c>
      <c r="AF82" t="n" s="11030">
        <v>0.0</v>
      </c>
      <c r="AG82" s="11031">
        <f>IF(HLOOKUP("BC",A1:CV300,82,FALSE)=0,0,HLOOKUP("Gs - BC",A1:CV300,82,FALSE)/HLOOKUP("BC",A1:CV300,82,FALSE))</f>
      </c>
      <c r="AH82" s="11032">
        <f>HLOOKUP("BC",A1:CV300,82,FALSE) - HLOOKUP("BC Miss",A1:CV300,82,FALSE)</f>
      </c>
      <c r="AI82" s="11033">
        <f>IF(HLOOKUP("Gs",A1:CV300,82,FALSE)=0,0,HLOOKUP("Gs - BC",A1:CV300,82,FALSE)/HLOOKUP("Gs",A1:CV300,82,FALSE))</f>
      </c>
      <c r="AJ82" t="n" s="11034">
        <v>0.0</v>
      </c>
      <c r="AK82" t="n" s="11035">
        <v>0.0</v>
      </c>
      <c r="AL82" s="11036">
        <f>HLOOKUP("BC",A1:CV300,82,FALSE) - (HLOOKUP("PK Gs",A1:CV300,82,FALSE) + HLOOKUP("PK Miss",A1:CV300,82,FALSE))</f>
      </c>
      <c r="AM82" s="11037">
        <f>HLOOKUP("BC Miss",A1:CV300,82,FALSE) - HLOOKUP("PK Miss",A1:CV300,82,FALSE)</f>
      </c>
      <c r="AN82" s="11038">
        <f>IF(HLOOKUP("BC - Open",A1:CV300,82,FALSE)=0,0,HLOOKUP("BC - Open Miss",A1:CV300,82,FALSE)/HLOOKUP("BC - Open",A1:CV300,82,FALSE))</f>
      </c>
      <c r="AO82" t="n" s="11039">
        <v>0.0</v>
      </c>
      <c r="AP82" s="11040">
        <f>IF(HLOOKUP("Gs",A1:CV300,82,FALSE)=0,0,HLOOKUP("GIB",A1:CV300,82,FALSE)/HLOOKUP("Gs",A1:CV300,82,FALSE))</f>
      </c>
      <c r="AQ82" t="n" s="11041">
        <v>0.0</v>
      </c>
      <c r="AR82" s="11042">
        <f>IF(HLOOKUP("Gs",A1:CV300,82,FALSE)=0,0,HLOOKUP("Gs - Open",A1:CV300,82,FALSE)/HLOOKUP("Gs",A1:CV300,82,FALSE))</f>
      </c>
      <c r="AS82" t="n" s="11043">
        <v>0.0</v>
      </c>
      <c r="AT82" t="n" s="11044">
        <v>0.01</v>
      </c>
      <c r="AU82" s="11045">
        <f>IF(HLOOKUP("Mins",A1:CV300,82,FALSE)=0,0,HLOOKUP("Pts",A1:CV300,82,FALSE)/HLOOKUP("Mins",A1:CV300,82,FALSE)* 90)</f>
      </c>
      <c r="AV82" s="11046">
        <f>IF(HLOOKUP("Apps",A1:CV300,82,FALSE)=0,0,HLOOKUP("Pts",A1:CV300,82,FALSE)/HLOOKUP("Apps",A1:CV300,82,FALSE)* 1)</f>
      </c>
      <c r="AW82" s="11047">
        <f>IF(HLOOKUP("Mins",A1:CV300,82,FALSE)=0,0,HLOOKUP("Gs",A1:CV300,82,FALSE)/HLOOKUP("Mins",A1:CV300,82,FALSE)* 90)</f>
      </c>
      <c r="AX82" s="11048">
        <f>IF(HLOOKUP("Mins",A1:CV300,82,FALSE)=0,0,HLOOKUP("Bonus",A1:CV300,82,FALSE)/HLOOKUP("Mins",A1:CV300,82,FALSE)* 90)</f>
      </c>
      <c r="AY82" s="11049">
        <f>IF(HLOOKUP("Mins",A1:CV300,82,FALSE)=0,0,HLOOKUP("BPS",A1:CV300,82,FALSE)/HLOOKUP("Mins",A1:CV300,82,FALSE)* 90)</f>
      </c>
      <c r="AZ82" s="11050">
        <f>IF(HLOOKUP("Mins",A1:CV300,82,FALSE)=0,0,HLOOKUP("Base BPS",A1:CV300,82,FALSE)/HLOOKUP("Mins",A1:CV300,82,FALSE)* 90)</f>
      </c>
      <c r="BA82" s="11051">
        <f>IF(HLOOKUP("Mins",A1:CV300,82,FALSE)=0,0,HLOOKUP("PenTchs",A1:CV300,82,FALSE)/HLOOKUP("Mins",A1:CV300,82,FALSE)* 90)</f>
      </c>
      <c r="BB82" s="11052">
        <f>IF(HLOOKUP("Mins",A1:CV300,82,FALSE)=0,0,HLOOKUP("Shots",A1:CV300,82,FALSE)/HLOOKUP("Mins",A1:CV300,82,FALSE)* 90)</f>
      </c>
      <c r="BC82" s="11053">
        <f>IF(HLOOKUP("Mins",A1:CV300,82,FALSE)=0,0,HLOOKUP("SIB",A1:CV300,82,FALSE)/HLOOKUP("Mins",A1:CV300,82,FALSE)* 90)</f>
      </c>
      <c r="BD82" s="11054">
        <f>IF(HLOOKUP("Mins",A1:CV300,82,FALSE)=0,0,HLOOKUP("S6YD",A1:CV300,82,FALSE)/HLOOKUP("Mins",A1:CV300,82,FALSE)* 90)</f>
      </c>
      <c r="BE82" s="11055">
        <f>IF(HLOOKUP("Mins",A1:CV300,82,FALSE)=0,0,HLOOKUP("Headers",A1:CV300,82,FALSE)/HLOOKUP("Mins",A1:CV300,82,FALSE)* 90)</f>
      </c>
      <c r="BF82" s="11056">
        <f>IF(HLOOKUP("Mins",A1:CV300,82,FALSE)=0,0,HLOOKUP("SOT",A1:CV300,82,FALSE)/HLOOKUP("Mins",A1:CV300,82,FALSE)* 90)</f>
      </c>
      <c r="BG82" s="11057">
        <f>IF(HLOOKUP("Mins",A1:CV300,82,FALSE)=0,0,HLOOKUP("As",A1:CV300,82,FALSE)/HLOOKUP("Mins",A1:CV300,82,FALSE)* 90)</f>
      </c>
      <c r="BH82" s="11058">
        <f>IF(HLOOKUP("Mins",A1:CV300,82,FALSE)=0,0,HLOOKUP("FPL As",A1:CV300,82,FALSE)/HLOOKUP("Mins",A1:CV300,82,FALSE)* 90)</f>
      </c>
      <c r="BI82" s="11059">
        <f>IF(HLOOKUP("Mins",A1:CV300,82,FALSE)=0,0,HLOOKUP("BC Created",A1:CV300,82,FALSE)/HLOOKUP("Mins",A1:CV300,82,FALSE)* 90)</f>
      </c>
      <c r="BJ82" s="11060">
        <f>IF(HLOOKUP("Mins",A1:CV300,82,FALSE)=0,0,HLOOKUP("KP",A1:CV300,82,FALSE)/HLOOKUP("Mins",A1:CV300,82,FALSE)* 90)</f>
      </c>
      <c r="BK82" s="11061">
        <f>IF(HLOOKUP("Mins",A1:CV300,82,FALSE)=0,0,HLOOKUP("BC",A1:CV300,82,FALSE)/HLOOKUP("Mins",A1:CV300,82,FALSE)* 90)</f>
      </c>
      <c r="BL82" s="11062">
        <f>IF(HLOOKUP("Mins",A1:CV300,82,FALSE)=0,0,HLOOKUP("BC Miss",A1:CV300,82,FALSE)/HLOOKUP("Mins",A1:CV300,82,FALSE)* 90)</f>
      </c>
      <c r="BM82" s="11063">
        <f>IF(HLOOKUP("Mins",A1:CV300,82,FALSE)=0,0,HLOOKUP("Gs - BC",A1:CV300,82,FALSE)/HLOOKUP("Mins",A1:CV300,82,FALSE)* 90)</f>
      </c>
      <c r="BN82" s="11064">
        <f>IF(HLOOKUP("Mins",A1:CV300,82,FALSE)=0,0,HLOOKUP("GIB",A1:CV300,82,FALSE)/HLOOKUP("Mins",A1:CV300,82,FALSE)* 90)</f>
      </c>
      <c r="BO82" s="11065">
        <f>IF(HLOOKUP("Mins",A1:CV300,82,FALSE)=0,0,HLOOKUP("Gs - Open",A1:CV300,82,FALSE)/HLOOKUP("Mins",A1:CV300,82,FALSE)* 90)</f>
      </c>
      <c r="BP82" s="11066">
        <f>IF(HLOOKUP("Mins",A1:CV300,82,FALSE)=0,0,HLOOKUP("ICT Index",A1:CV300,82,FALSE)/HLOOKUP("Mins",A1:CV300,82,FALSE)* 90)</f>
      </c>
      <c r="BQ82" s="11067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1068">
        <f>0.0825*HLOOKUP("KP/90",A1:CV300,82,FALSE)</f>
      </c>
      <c r="BS82" s="11069">
        <f>6*HLOOKUP("xG/90",A1:CV300,82,FALSE)+3*HLOOKUP("xA/90",A1:CV300,82,FALSE)</f>
      </c>
      <c r="BT82" s="11070">
        <f>HLOOKUP("xPts/90",A1:CV300,82,FALSE)-(6*0.75*(HLOOKUP("PK Gs",A1:CV300,82,FALSE)+HLOOKUP("PK Miss",A1:CV300,82,FALSE))*90/HLOOKUP("Mins",A1:CV300,82,FALSE))</f>
      </c>
      <c r="BU82" s="11071">
        <f>IF(HLOOKUP("Mins",A1:CV300,82,FALSE)=0,0,HLOOKUP("fsXG",A1:CV300,82,FALSE)/HLOOKUP("Mins",A1:CV300,82,FALSE)* 90)</f>
      </c>
      <c r="BV82" s="11072">
        <f>IF(HLOOKUP("Mins",A1:CV300,82,FALSE)=0,0,HLOOKUP("fsXA",A1:CV300,82,FALSE)/HLOOKUP("Mins",A1:CV300,82,FALSE)* 90)</f>
      </c>
      <c r="BW82" s="11073">
        <f>6*HLOOKUP("fsXG/90",A1:CV300,82,FALSE)+3*HLOOKUP("fsXA/90",A1:CV300,82,FALSE)</f>
      </c>
      <c r="BX82" t="n" s="11074">
        <v>0.0</v>
      </c>
      <c r="BY82" t="n" s="11075">
        <v>0.0</v>
      </c>
      <c r="BZ82" s="11076">
        <f>6*HLOOKUP("uXG/90",A1:CV300,82,FALSE)+3*HLOOKUP("uXA/90",A1:CV300,82,FALSE)</f>
      </c>
    </row>
    <row r="83">
      <c r="A83" t="s" s="11077">
        <v>239</v>
      </c>
      <c r="B83" t="s" s="11078">
        <v>94</v>
      </c>
      <c r="C83" t="n" s="11079">
        <v>4.0</v>
      </c>
      <c r="D83" t="n" s="11080">
        <v>90.0</v>
      </c>
      <c r="E83" t="n" s="11081">
        <v>1.0</v>
      </c>
      <c r="F83" t="n" s="11082">
        <v>2.0</v>
      </c>
      <c r="G83" t="n" s="11083">
        <v>0.0</v>
      </c>
      <c r="H83" t="n" s="11084">
        <v>0.0</v>
      </c>
      <c r="I83" t="n" s="11085">
        <v>20.0</v>
      </c>
      <c r="J83" s="11086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1087">
        <v>0.0</v>
      </c>
      <c r="L83" t="n" s="11088">
        <v>0.0</v>
      </c>
      <c r="M83" t="n" s="11089">
        <v>0.0</v>
      </c>
      <c r="N83" t="n" s="11090">
        <v>0.0</v>
      </c>
      <c r="O83" t="n" s="11091">
        <v>0.0</v>
      </c>
      <c r="P83" s="11092">
        <f>IF(HLOOKUP("Shots",A1:CV300,83,FALSE)=0,0,HLOOKUP("SIB",A1:CV300,83,FALSE)/HLOOKUP("Shots",A1:CV300,83,FALSE))</f>
      </c>
      <c r="Q83" t="n" s="11093">
        <v>0.0</v>
      </c>
      <c r="R83" s="11094">
        <f>IF(HLOOKUP("Shots",A1:CV300,83,FALSE)=0,0,HLOOKUP("S6YD",A1:CV300,83,FALSE)/HLOOKUP("Shots",A1:CV300,83,FALSE))</f>
      </c>
      <c r="S83" t="n" s="11095">
        <v>0.0</v>
      </c>
      <c r="T83" s="11096">
        <f>IF(HLOOKUP("Shots",A1:CV300,83,FALSE)=0,0,HLOOKUP("Headers",A1:CV300,83,FALSE)/HLOOKUP("Shots",A1:CV300,83,FALSE))</f>
      </c>
      <c r="U83" t="n" s="11097">
        <v>0.0</v>
      </c>
      <c r="V83" s="11098">
        <f>IF(HLOOKUP("Shots",A1:CV300,83,FALSE)=0,0,HLOOKUP("SOT",A1:CV300,83,FALSE)/HLOOKUP("Shots",A1:CV300,83,FALSE))</f>
      </c>
      <c r="W83" s="11099">
        <f>IF(HLOOKUP("Shots",A1:CV300,83,FALSE)=0,0,HLOOKUP("Gs",A1:CV300,83,FALSE)/HLOOKUP("Shots",A1:CV300,83,FALSE))</f>
      </c>
      <c r="X83" t="n" s="11100">
        <v>0.0</v>
      </c>
      <c r="Y83" t="n" s="11101">
        <v>0.0</v>
      </c>
      <c r="Z83" t="n" s="11102">
        <v>0.0</v>
      </c>
      <c r="AA83" s="11103">
        <f>IF(HLOOKUP("KP",A1:CV300,83,FALSE)=0,0,HLOOKUP("As",A1:CV300,83,FALSE)/HLOOKUP("KP",A1:CV300,83,FALSE))</f>
      </c>
      <c r="AB83" t="n" s="11104">
        <v>2.6</v>
      </c>
      <c r="AC83" t="n" s="11105">
        <v>0.0</v>
      </c>
      <c r="AD83" t="n" s="11106">
        <v>0.0</v>
      </c>
      <c r="AE83" t="n" s="11107">
        <v>0.0</v>
      </c>
      <c r="AF83" t="n" s="11108">
        <v>0.0</v>
      </c>
      <c r="AG83" s="11109">
        <f>IF(HLOOKUP("BC",A1:CV300,83,FALSE)=0,0,HLOOKUP("Gs - BC",A1:CV300,83,FALSE)/HLOOKUP("BC",A1:CV300,83,FALSE))</f>
      </c>
      <c r="AH83" s="11110">
        <f>HLOOKUP("BC",A1:CV300,83,FALSE) - HLOOKUP("BC Miss",A1:CV300,83,FALSE)</f>
      </c>
      <c r="AI83" s="11111">
        <f>IF(HLOOKUP("Gs",A1:CV300,83,FALSE)=0,0,HLOOKUP("Gs - BC",A1:CV300,83,FALSE)/HLOOKUP("Gs",A1:CV300,83,FALSE))</f>
      </c>
      <c r="AJ83" t="n" s="11112">
        <v>0.0</v>
      </c>
      <c r="AK83" t="n" s="11113">
        <v>0.0</v>
      </c>
      <c r="AL83" s="11114">
        <f>HLOOKUP("BC",A1:CV300,83,FALSE) - (HLOOKUP("PK Gs",A1:CV300,83,FALSE) + HLOOKUP("PK Miss",A1:CV300,83,FALSE))</f>
      </c>
      <c r="AM83" s="11115">
        <f>HLOOKUP("BC Miss",A1:CV300,83,FALSE) - HLOOKUP("PK Miss",A1:CV300,83,FALSE)</f>
      </c>
      <c r="AN83" s="11116">
        <f>IF(HLOOKUP("BC - Open",A1:CV300,83,FALSE)=0,0,HLOOKUP("BC - Open Miss",A1:CV300,83,FALSE)/HLOOKUP("BC - Open",A1:CV300,83,FALSE))</f>
      </c>
      <c r="AO83" t="n" s="11117">
        <v>0.0</v>
      </c>
      <c r="AP83" s="11118">
        <f>IF(HLOOKUP("Gs",A1:CV300,83,FALSE)=0,0,HLOOKUP("GIB",A1:CV300,83,FALSE)/HLOOKUP("Gs",A1:CV300,83,FALSE))</f>
      </c>
      <c r="AQ83" t="n" s="11119">
        <v>0.0</v>
      </c>
      <c r="AR83" s="11120">
        <f>IF(HLOOKUP("Gs",A1:CV300,83,FALSE)=0,0,HLOOKUP("Gs - Open",A1:CV300,83,FALSE)/HLOOKUP("Gs",A1:CV300,83,FALSE))</f>
      </c>
      <c r="AS83" t="n" s="11121">
        <v>0.0</v>
      </c>
      <c r="AT83" t="n" s="11122">
        <v>0.0</v>
      </c>
      <c r="AU83" s="11123">
        <f>IF(HLOOKUP("Mins",A1:CV300,83,FALSE)=0,0,HLOOKUP("Pts",A1:CV300,83,FALSE)/HLOOKUP("Mins",A1:CV300,83,FALSE)* 90)</f>
      </c>
      <c r="AV83" s="11124">
        <f>IF(HLOOKUP("Apps",A1:CV300,83,FALSE)=0,0,HLOOKUP("Pts",A1:CV300,83,FALSE)/HLOOKUP("Apps",A1:CV300,83,FALSE)* 1)</f>
      </c>
      <c r="AW83" s="11125">
        <f>IF(HLOOKUP("Mins",A1:CV300,83,FALSE)=0,0,HLOOKUP("Gs",A1:CV300,83,FALSE)/HLOOKUP("Mins",A1:CV300,83,FALSE)* 90)</f>
      </c>
      <c r="AX83" s="11126">
        <f>IF(HLOOKUP("Mins",A1:CV300,83,FALSE)=0,0,HLOOKUP("Bonus",A1:CV300,83,FALSE)/HLOOKUP("Mins",A1:CV300,83,FALSE)* 90)</f>
      </c>
      <c r="AY83" s="11127">
        <f>IF(HLOOKUP("Mins",A1:CV300,83,FALSE)=0,0,HLOOKUP("BPS",A1:CV300,83,FALSE)/HLOOKUP("Mins",A1:CV300,83,FALSE)* 90)</f>
      </c>
      <c r="AZ83" s="11128">
        <f>IF(HLOOKUP("Mins",A1:CV300,83,FALSE)=0,0,HLOOKUP("Base BPS",A1:CV300,83,FALSE)/HLOOKUP("Mins",A1:CV300,83,FALSE)* 90)</f>
      </c>
      <c r="BA83" s="11129">
        <f>IF(HLOOKUP("Mins",A1:CV300,83,FALSE)=0,0,HLOOKUP("PenTchs",A1:CV300,83,FALSE)/HLOOKUP("Mins",A1:CV300,83,FALSE)* 90)</f>
      </c>
      <c r="BB83" s="11130">
        <f>IF(HLOOKUP("Mins",A1:CV300,83,FALSE)=0,0,HLOOKUP("Shots",A1:CV300,83,FALSE)/HLOOKUP("Mins",A1:CV300,83,FALSE)* 90)</f>
      </c>
      <c r="BC83" s="11131">
        <f>IF(HLOOKUP("Mins",A1:CV300,83,FALSE)=0,0,HLOOKUP("SIB",A1:CV300,83,FALSE)/HLOOKUP("Mins",A1:CV300,83,FALSE)* 90)</f>
      </c>
      <c r="BD83" s="11132">
        <f>IF(HLOOKUP("Mins",A1:CV300,83,FALSE)=0,0,HLOOKUP("S6YD",A1:CV300,83,FALSE)/HLOOKUP("Mins",A1:CV300,83,FALSE)* 90)</f>
      </c>
      <c r="BE83" s="11133">
        <f>IF(HLOOKUP("Mins",A1:CV300,83,FALSE)=0,0,HLOOKUP("Headers",A1:CV300,83,FALSE)/HLOOKUP("Mins",A1:CV300,83,FALSE)* 90)</f>
      </c>
      <c r="BF83" s="11134">
        <f>IF(HLOOKUP("Mins",A1:CV300,83,FALSE)=0,0,HLOOKUP("SOT",A1:CV300,83,FALSE)/HLOOKUP("Mins",A1:CV300,83,FALSE)* 90)</f>
      </c>
      <c r="BG83" s="11135">
        <f>IF(HLOOKUP("Mins",A1:CV300,83,FALSE)=0,0,HLOOKUP("As",A1:CV300,83,FALSE)/HLOOKUP("Mins",A1:CV300,83,FALSE)* 90)</f>
      </c>
      <c r="BH83" s="11136">
        <f>IF(HLOOKUP("Mins",A1:CV300,83,FALSE)=0,0,HLOOKUP("FPL As",A1:CV300,83,FALSE)/HLOOKUP("Mins",A1:CV300,83,FALSE)* 90)</f>
      </c>
      <c r="BI83" s="11137">
        <f>IF(HLOOKUP("Mins",A1:CV300,83,FALSE)=0,0,HLOOKUP("BC Created",A1:CV300,83,FALSE)/HLOOKUP("Mins",A1:CV300,83,FALSE)* 90)</f>
      </c>
      <c r="BJ83" s="11138">
        <f>IF(HLOOKUP("Mins",A1:CV300,83,FALSE)=0,0,HLOOKUP("KP",A1:CV300,83,FALSE)/HLOOKUP("Mins",A1:CV300,83,FALSE)* 90)</f>
      </c>
      <c r="BK83" s="11139">
        <f>IF(HLOOKUP("Mins",A1:CV300,83,FALSE)=0,0,HLOOKUP("BC",A1:CV300,83,FALSE)/HLOOKUP("Mins",A1:CV300,83,FALSE)* 90)</f>
      </c>
      <c r="BL83" s="11140">
        <f>IF(HLOOKUP("Mins",A1:CV300,83,FALSE)=0,0,HLOOKUP("BC Miss",A1:CV300,83,FALSE)/HLOOKUP("Mins",A1:CV300,83,FALSE)* 90)</f>
      </c>
      <c r="BM83" s="11141">
        <f>IF(HLOOKUP("Mins",A1:CV300,83,FALSE)=0,0,HLOOKUP("Gs - BC",A1:CV300,83,FALSE)/HLOOKUP("Mins",A1:CV300,83,FALSE)* 90)</f>
      </c>
      <c r="BN83" s="11142">
        <f>IF(HLOOKUP("Mins",A1:CV300,83,FALSE)=0,0,HLOOKUP("GIB",A1:CV300,83,FALSE)/HLOOKUP("Mins",A1:CV300,83,FALSE)* 90)</f>
      </c>
      <c r="BO83" s="11143">
        <f>IF(HLOOKUP("Mins",A1:CV300,83,FALSE)=0,0,HLOOKUP("Gs - Open",A1:CV300,83,FALSE)/HLOOKUP("Mins",A1:CV300,83,FALSE)* 90)</f>
      </c>
      <c r="BP83" s="11144">
        <f>IF(HLOOKUP("Mins",A1:CV300,83,FALSE)=0,0,HLOOKUP("ICT Index",A1:CV300,83,FALSE)/HLOOKUP("Mins",A1:CV300,83,FALSE)* 90)</f>
      </c>
      <c r="BQ83" s="11145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1146">
        <f>0.0825*HLOOKUP("KP/90",A1:CV300,83,FALSE)</f>
      </c>
      <c r="BS83" s="11147">
        <f>6*HLOOKUP("xG/90",A1:CV300,83,FALSE)+3*HLOOKUP("xA/90",A1:CV300,83,FALSE)</f>
      </c>
      <c r="BT83" s="11148">
        <f>HLOOKUP("xPts/90",A1:CV300,83,FALSE)-(6*0.75*(HLOOKUP("PK Gs",A1:CV300,83,FALSE)+HLOOKUP("PK Miss",A1:CV300,83,FALSE))*90/HLOOKUP("Mins",A1:CV300,83,FALSE))</f>
      </c>
      <c r="BU83" s="11149">
        <f>IF(HLOOKUP("Mins",A1:CV300,83,FALSE)=0,0,HLOOKUP("fsXG",A1:CV300,83,FALSE)/HLOOKUP("Mins",A1:CV300,83,FALSE)* 90)</f>
      </c>
      <c r="BV83" s="11150">
        <f>IF(HLOOKUP("Mins",A1:CV300,83,FALSE)=0,0,HLOOKUP("fsXA",A1:CV300,83,FALSE)/HLOOKUP("Mins",A1:CV300,83,FALSE)* 90)</f>
      </c>
      <c r="BW83" s="11151">
        <f>6*HLOOKUP("fsXG/90",A1:CV300,83,FALSE)+3*HLOOKUP("fsXA/90",A1:CV300,83,FALSE)</f>
      </c>
      <c r="BX83" t="n" s="11152">
        <v>0.0</v>
      </c>
      <c r="BY83" t="n" s="11153">
        <v>0.0</v>
      </c>
      <c r="BZ83" s="11154">
        <f>6*HLOOKUP("uXG/90",A1:CV300,83,FALSE)+3*HLOOKUP("uXA/90",A1:CV300,83,FALSE)</f>
      </c>
    </row>
    <row r="84">
      <c r="A84" t="s" s="11155">
        <v>240</v>
      </c>
      <c r="B84" t="s" s="11156">
        <v>90</v>
      </c>
      <c r="C84" t="n" s="11157">
        <v>4.0</v>
      </c>
      <c r="D84" t="n" s="11158">
        <v>440.0</v>
      </c>
      <c r="E84" t="n" s="11159">
        <v>5.0</v>
      </c>
      <c r="F84" t="n" s="11160">
        <v>5.0</v>
      </c>
      <c r="G84" t="n" s="11161">
        <v>0.0</v>
      </c>
      <c r="H84" t="n" s="11162">
        <v>0.0</v>
      </c>
      <c r="I84" t="n" s="11163">
        <v>91.0</v>
      </c>
      <c r="J84" s="11164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1165">
        <v>1.0</v>
      </c>
      <c r="L84" t="n" s="11166">
        <v>0.0</v>
      </c>
      <c r="M84" t="n" s="11167">
        <v>6.0</v>
      </c>
      <c r="N84" t="n" s="11168">
        <v>4.0</v>
      </c>
      <c r="O84" t="n" s="11169">
        <v>4.0</v>
      </c>
      <c r="P84" s="11170">
        <f>IF(HLOOKUP("Shots",A1:CV300,84,FALSE)=0,0,HLOOKUP("SIB",A1:CV300,84,FALSE)/HLOOKUP("Shots",A1:CV300,84,FALSE))</f>
      </c>
      <c r="Q84" t="n" s="11171">
        <v>0.0</v>
      </c>
      <c r="R84" s="11172">
        <f>IF(HLOOKUP("Shots",A1:CV300,84,FALSE)=0,0,HLOOKUP("S6YD",A1:CV300,84,FALSE)/HLOOKUP("Shots",A1:CV300,84,FALSE))</f>
      </c>
      <c r="S84" t="n" s="11173">
        <v>4.0</v>
      </c>
      <c r="T84" s="11174">
        <f>IF(HLOOKUP("Shots",A1:CV300,84,FALSE)=0,0,HLOOKUP("Headers",A1:CV300,84,FALSE)/HLOOKUP("Shots",A1:CV300,84,FALSE))</f>
      </c>
      <c r="U84" t="n" s="11175">
        <v>1.0</v>
      </c>
      <c r="V84" s="11176">
        <f>IF(HLOOKUP("Shots",A1:CV300,84,FALSE)=0,0,HLOOKUP("SOT",A1:CV300,84,FALSE)/HLOOKUP("Shots",A1:CV300,84,FALSE))</f>
      </c>
      <c r="W84" s="11177">
        <f>IF(HLOOKUP("Shots",A1:CV300,84,FALSE)=0,0,HLOOKUP("Gs",A1:CV300,84,FALSE)/HLOOKUP("Shots",A1:CV300,84,FALSE))</f>
      </c>
      <c r="X84" t="n" s="11178">
        <v>0.0</v>
      </c>
      <c r="Y84" t="n" s="11179">
        <v>0.0</v>
      </c>
      <c r="Z84" t="n" s="11180">
        <v>0.0</v>
      </c>
      <c r="AA84" s="11181">
        <f>IF(HLOOKUP("KP",A1:CV300,84,FALSE)=0,0,HLOOKUP("As",A1:CV300,84,FALSE)/HLOOKUP("KP",A1:CV300,84,FALSE))</f>
      </c>
      <c r="AB84" t="n" s="11182">
        <v>13.7</v>
      </c>
      <c r="AC84" t="n" s="11183">
        <v>0.0</v>
      </c>
      <c r="AD84" t="n" s="11184">
        <v>0.0</v>
      </c>
      <c r="AE84" t="n" s="11185">
        <v>0.0</v>
      </c>
      <c r="AF84" t="n" s="11186">
        <v>0.0</v>
      </c>
      <c r="AG84" s="11187">
        <f>IF(HLOOKUP("BC",A1:CV300,84,FALSE)=0,0,HLOOKUP("Gs - BC",A1:CV300,84,FALSE)/HLOOKUP("BC",A1:CV300,84,FALSE))</f>
      </c>
      <c r="AH84" s="11188">
        <f>HLOOKUP("BC",A1:CV300,84,FALSE) - HLOOKUP("BC Miss",A1:CV300,84,FALSE)</f>
      </c>
      <c r="AI84" s="11189">
        <f>IF(HLOOKUP("Gs",A1:CV300,84,FALSE)=0,0,HLOOKUP("Gs - BC",A1:CV300,84,FALSE)/HLOOKUP("Gs",A1:CV300,84,FALSE))</f>
      </c>
      <c r="AJ84" t="n" s="11190">
        <v>0.0</v>
      </c>
      <c r="AK84" t="n" s="11191">
        <v>0.0</v>
      </c>
      <c r="AL84" s="11192">
        <f>HLOOKUP("BC",A1:CV300,84,FALSE) - (HLOOKUP("PK Gs",A1:CV300,84,FALSE) + HLOOKUP("PK Miss",A1:CV300,84,FALSE))</f>
      </c>
      <c r="AM84" s="11193">
        <f>HLOOKUP("BC Miss",A1:CV300,84,FALSE) - HLOOKUP("PK Miss",A1:CV300,84,FALSE)</f>
      </c>
      <c r="AN84" s="11194">
        <f>IF(HLOOKUP("BC - Open",A1:CV300,84,FALSE)=0,0,HLOOKUP("BC - Open Miss",A1:CV300,84,FALSE)/HLOOKUP("BC - Open",A1:CV300,84,FALSE))</f>
      </c>
      <c r="AO84" t="n" s="11195">
        <v>0.0</v>
      </c>
      <c r="AP84" s="11196">
        <f>IF(HLOOKUP("Gs",A1:CV300,84,FALSE)=0,0,HLOOKUP("GIB",A1:CV300,84,FALSE)/HLOOKUP("Gs",A1:CV300,84,FALSE))</f>
      </c>
      <c r="AQ84" t="n" s="11197">
        <v>0.0</v>
      </c>
      <c r="AR84" s="11198">
        <f>IF(HLOOKUP("Gs",A1:CV300,84,FALSE)=0,0,HLOOKUP("Gs - Open",A1:CV300,84,FALSE)/HLOOKUP("Gs",A1:CV300,84,FALSE))</f>
      </c>
      <c r="AS84" t="n" s="11199">
        <v>0.32</v>
      </c>
      <c r="AT84" t="n" s="11200">
        <v>0.01</v>
      </c>
      <c r="AU84" s="11201">
        <f>IF(HLOOKUP("Mins",A1:CV300,84,FALSE)=0,0,HLOOKUP("Pts",A1:CV300,84,FALSE)/HLOOKUP("Mins",A1:CV300,84,FALSE)* 90)</f>
      </c>
      <c r="AV84" s="11202">
        <f>IF(HLOOKUP("Apps",A1:CV300,84,FALSE)=0,0,HLOOKUP("Pts",A1:CV300,84,FALSE)/HLOOKUP("Apps",A1:CV300,84,FALSE)* 1)</f>
      </c>
      <c r="AW84" s="11203">
        <f>IF(HLOOKUP("Mins",A1:CV300,84,FALSE)=0,0,HLOOKUP("Gs",A1:CV300,84,FALSE)/HLOOKUP("Mins",A1:CV300,84,FALSE)* 90)</f>
      </c>
      <c r="AX84" s="11204">
        <f>IF(HLOOKUP("Mins",A1:CV300,84,FALSE)=0,0,HLOOKUP("Bonus",A1:CV300,84,FALSE)/HLOOKUP("Mins",A1:CV300,84,FALSE)* 90)</f>
      </c>
      <c r="AY84" s="11205">
        <f>IF(HLOOKUP("Mins",A1:CV300,84,FALSE)=0,0,HLOOKUP("BPS",A1:CV300,84,FALSE)/HLOOKUP("Mins",A1:CV300,84,FALSE)* 90)</f>
      </c>
      <c r="AZ84" s="11206">
        <f>IF(HLOOKUP("Mins",A1:CV300,84,FALSE)=0,0,HLOOKUP("Base BPS",A1:CV300,84,FALSE)/HLOOKUP("Mins",A1:CV300,84,FALSE)* 90)</f>
      </c>
      <c r="BA84" s="11207">
        <f>IF(HLOOKUP("Mins",A1:CV300,84,FALSE)=0,0,HLOOKUP("PenTchs",A1:CV300,84,FALSE)/HLOOKUP("Mins",A1:CV300,84,FALSE)* 90)</f>
      </c>
      <c r="BB84" s="11208">
        <f>IF(HLOOKUP("Mins",A1:CV300,84,FALSE)=0,0,HLOOKUP("Shots",A1:CV300,84,FALSE)/HLOOKUP("Mins",A1:CV300,84,FALSE)* 90)</f>
      </c>
      <c r="BC84" s="11209">
        <f>IF(HLOOKUP("Mins",A1:CV300,84,FALSE)=0,0,HLOOKUP("SIB",A1:CV300,84,FALSE)/HLOOKUP("Mins",A1:CV300,84,FALSE)* 90)</f>
      </c>
      <c r="BD84" s="11210">
        <f>IF(HLOOKUP("Mins",A1:CV300,84,FALSE)=0,0,HLOOKUP("S6YD",A1:CV300,84,FALSE)/HLOOKUP("Mins",A1:CV300,84,FALSE)* 90)</f>
      </c>
      <c r="BE84" s="11211">
        <f>IF(HLOOKUP("Mins",A1:CV300,84,FALSE)=0,0,HLOOKUP("Headers",A1:CV300,84,FALSE)/HLOOKUP("Mins",A1:CV300,84,FALSE)* 90)</f>
      </c>
      <c r="BF84" s="11212">
        <f>IF(HLOOKUP("Mins",A1:CV300,84,FALSE)=0,0,HLOOKUP("SOT",A1:CV300,84,FALSE)/HLOOKUP("Mins",A1:CV300,84,FALSE)* 90)</f>
      </c>
      <c r="BG84" s="11213">
        <f>IF(HLOOKUP("Mins",A1:CV300,84,FALSE)=0,0,HLOOKUP("As",A1:CV300,84,FALSE)/HLOOKUP("Mins",A1:CV300,84,FALSE)* 90)</f>
      </c>
      <c r="BH84" s="11214">
        <f>IF(HLOOKUP("Mins",A1:CV300,84,FALSE)=0,0,HLOOKUP("FPL As",A1:CV300,84,FALSE)/HLOOKUP("Mins",A1:CV300,84,FALSE)* 90)</f>
      </c>
      <c r="BI84" s="11215">
        <f>IF(HLOOKUP("Mins",A1:CV300,84,FALSE)=0,0,HLOOKUP("BC Created",A1:CV300,84,FALSE)/HLOOKUP("Mins",A1:CV300,84,FALSE)* 90)</f>
      </c>
      <c r="BJ84" s="11216">
        <f>IF(HLOOKUP("Mins",A1:CV300,84,FALSE)=0,0,HLOOKUP("KP",A1:CV300,84,FALSE)/HLOOKUP("Mins",A1:CV300,84,FALSE)* 90)</f>
      </c>
      <c r="BK84" s="11217">
        <f>IF(HLOOKUP("Mins",A1:CV300,84,FALSE)=0,0,HLOOKUP("BC",A1:CV300,84,FALSE)/HLOOKUP("Mins",A1:CV300,84,FALSE)* 90)</f>
      </c>
      <c r="BL84" s="11218">
        <f>IF(HLOOKUP("Mins",A1:CV300,84,FALSE)=0,0,HLOOKUP("BC Miss",A1:CV300,84,FALSE)/HLOOKUP("Mins",A1:CV300,84,FALSE)* 90)</f>
      </c>
      <c r="BM84" s="11219">
        <f>IF(HLOOKUP("Mins",A1:CV300,84,FALSE)=0,0,HLOOKUP("Gs - BC",A1:CV300,84,FALSE)/HLOOKUP("Mins",A1:CV300,84,FALSE)* 90)</f>
      </c>
      <c r="BN84" s="11220">
        <f>IF(HLOOKUP("Mins",A1:CV300,84,FALSE)=0,0,HLOOKUP("GIB",A1:CV300,84,FALSE)/HLOOKUP("Mins",A1:CV300,84,FALSE)* 90)</f>
      </c>
      <c r="BO84" s="11221">
        <f>IF(HLOOKUP("Mins",A1:CV300,84,FALSE)=0,0,HLOOKUP("Gs - Open",A1:CV300,84,FALSE)/HLOOKUP("Mins",A1:CV300,84,FALSE)* 90)</f>
      </c>
      <c r="BP84" s="11222">
        <f>IF(HLOOKUP("Mins",A1:CV300,84,FALSE)=0,0,HLOOKUP("ICT Index",A1:CV300,84,FALSE)/HLOOKUP("Mins",A1:CV300,84,FALSE)* 90)</f>
      </c>
      <c r="BQ84" s="11223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1224">
        <f>0.0825*HLOOKUP("KP/90",A1:CV300,84,FALSE)</f>
      </c>
      <c r="BS84" s="11225">
        <f>6*HLOOKUP("xG/90",A1:CV300,84,FALSE)+3*HLOOKUP("xA/90",A1:CV300,84,FALSE)</f>
      </c>
      <c r="BT84" s="11226">
        <f>HLOOKUP("xPts/90",A1:CV300,84,FALSE)-(6*0.75*(HLOOKUP("PK Gs",A1:CV300,84,FALSE)+HLOOKUP("PK Miss",A1:CV300,84,FALSE))*90/HLOOKUP("Mins",A1:CV300,84,FALSE))</f>
      </c>
      <c r="BU84" s="11227">
        <f>IF(HLOOKUP("Mins",A1:CV300,84,FALSE)=0,0,HLOOKUP("fsXG",A1:CV300,84,FALSE)/HLOOKUP("Mins",A1:CV300,84,FALSE)* 90)</f>
      </c>
      <c r="BV84" s="11228">
        <f>IF(HLOOKUP("Mins",A1:CV300,84,FALSE)=0,0,HLOOKUP("fsXA",A1:CV300,84,FALSE)/HLOOKUP("Mins",A1:CV300,84,FALSE)* 90)</f>
      </c>
      <c r="BW84" s="11229">
        <f>6*HLOOKUP("fsXG/90",A1:CV300,84,FALSE)+3*HLOOKUP("fsXA/90",A1:CV300,84,FALSE)</f>
      </c>
      <c r="BX84" t="n" s="11230">
        <v>0.038042161613702774</v>
      </c>
      <c r="BY84" t="n" s="11231">
        <v>0.0</v>
      </c>
      <c r="BZ84" s="11232">
        <f>6*HLOOKUP("uXG/90",A1:CV300,84,FALSE)+3*HLOOKUP("uXA/90",A1:CV300,84,FALSE)</f>
      </c>
    </row>
    <row r="85">
      <c r="A85" t="s" s="11233">
        <v>241</v>
      </c>
      <c r="B85" t="s" s="11234">
        <v>90</v>
      </c>
      <c r="C85" t="n" s="11235">
        <v>4.400000095367432</v>
      </c>
      <c r="D85" t="n" s="11236">
        <v>540.0</v>
      </c>
      <c r="E85" t="n" s="11237">
        <v>6.0</v>
      </c>
      <c r="F85" t="n" s="11238">
        <v>19.0</v>
      </c>
      <c r="G85" t="n" s="11239">
        <v>0.0</v>
      </c>
      <c r="H85" t="n" s="11240">
        <v>0.0</v>
      </c>
      <c r="I85" t="n" s="11241">
        <v>157.0</v>
      </c>
      <c r="J85" s="11242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1243">
        <v>0.0</v>
      </c>
      <c r="L85" t="n" s="11244">
        <v>1.0</v>
      </c>
      <c r="M85" t="n" s="11245">
        <v>2.0</v>
      </c>
      <c r="N85" t="n" s="11246">
        <v>3.0</v>
      </c>
      <c r="O85" t="n" s="11247">
        <v>2.0</v>
      </c>
      <c r="P85" s="11248">
        <f>IF(HLOOKUP("Shots",A1:CV300,85,FALSE)=0,0,HLOOKUP("SIB",A1:CV300,85,FALSE)/HLOOKUP("Shots",A1:CV300,85,FALSE))</f>
      </c>
      <c r="Q85" t="n" s="11249">
        <v>1.0</v>
      </c>
      <c r="R85" s="11250">
        <f>IF(HLOOKUP("Shots",A1:CV300,85,FALSE)=0,0,HLOOKUP("S6YD",A1:CV300,85,FALSE)/HLOOKUP("Shots",A1:CV300,85,FALSE))</f>
      </c>
      <c r="S85" t="n" s="11251">
        <v>1.0</v>
      </c>
      <c r="T85" s="11252">
        <f>IF(HLOOKUP("Shots",A1:CV300,85,FALSE)=0,0,HLOOKUP("Headers",A1:CV300,85,FALSE)/HLOOKUP("Shots",A1:CV300,85,FALSE))</f>
      </c>
      <c r="U85" t="n" s="11253">
        <v>1.0</v>
      </c>
      <c r="V85" s="11254">
        <f>IF(HLOOKUP("Shots",A1:CV300,85,FALSE)=0,0,HLOOKUP("SOT",A1:CV300,85,FALSE)/HLOOKUP("Shots",A1:CV300,85,FALSE))</f>
      </c>
      <c r="W85" s="11255">
        <f>IF(HLOOKUP("Shots",A1:CV300,85,FALSE)=0,0,HLOOKUP("Gs",A1:CV300,85,FALSE)/HLOOKUP("Shots",A1:CV300,85,FALSE))</f>
      </c>
      <c r="X85" t="n" s="11256">
        <v>0.0</v>
      </c>
      <c r="Y85" t="n" s="11257">
        <v>1.0</v>
      </c>
      <c r="Z85" t="n" s="11258">
        <v>0.0</v>
      </c>
      <c r="AA85" s="11259">
        <f>IF(HLOOKUP("KP",A1:CV300,85,FALSE)=0,0,HLOOKUP("As",A1:CV300,85,FALSE)/HLOOKUP("KP",A1:CV300,85,FALSE))</f>
      </c>
      <c r="AB85" t="n" s="11260">
        <v>18.3</v>
      </c>
      <c r="AC85" t="n" s="11261">
        <v>0.0</v>
      </c>
      <c r="AD85" t="n" s="11262">
        <v>0.0</v>
      </c>
      <c r="AE85" t="n" s="11263">
        <v>0.0</v>
      </c>
      <c r="AF85" t="n" s="11264">
        <v>0.0</v>
      </c>
      <c r="AG85" s="11265">
        <f>IF(HLOOKUP("BC",A1:CV300,85,FALSE)=0,0,HLOOKUP("Gs - BC",A1:CV300,85,FALSE)/HLOOKUP("BC",A1:CV300,85,FALSE))</f>
      </c>
      <c r="AH85" s="11266">
        <f>HLOOKUP("BC",A1:CV300,85,FALSE) - HLOOKUP("BC Miss",A1:CV300,85,FALSE)</f>
      </c>
      <c r="AI85" s="11267">
        <f>IF(HLOOKUP("Gs",A1:CV300,85,FALSE)=0,0,HLOOKUP("Gs - BC",A1:CV300,85,FALSE)/HLOOKUP("Gs",A1:CV300,85,FALSE))</f>
      </c>
      <c r="AJ85" t="n" s="11268">
        <v>0.0</v>
      </c>
      <c r="AK85" t="n" s="11269">
        <v>0.0</v>
      </c>
      <c r="AL85" s="11270">
        <f>HLOOKUP("BC",A1:CV300,85,FALSE) - (HLOOKUP("PK Gs",A1:CV300,85,FALSE) + HLOOKUP("PK Miss",A1:CV300,85,FALSE))</f>
      </c>
      <c r="AM85" s="11271">
        <f>HLOOKUP("BC Miss",A1:CV300,85,FALSE) - HLOOKUP("PK Miss",A1:CV300,85,FALSE)</f>
      </c>
      <c r="AN85" s="11272">
        <f>IF(HLOOKUP("BC - Open",A1:CV300,85,FALSE)=0,0,HLOOKUP("BC - Open Miss",A1:CV300,85,FALSE)/HLOOKUP("BC - Open",A1:CV300,85,FALSE))</f>
      </c>
      <c r="AO85" t="n" s="11273">
        <v>0.0</v>
      </c>
      <c r="AP85" s="11274">
        <f>IF(HLOOKUP("Gs",A1:CV300,85,FALSE)=0,0,HLOOKUP("GIB",A1:CV300,85,FALSE)/HLOOKUP("Gs",A1:CV300,85,FALSE))</f>
      </c>
      <c r="AQ85" t="n" s="11275">
        <v>0.0</v>
      </c>
      <c r="AR85" s="11276">
        <f>IF(HLOOKUP("Gs",A1:CV300,85,FALSE)=0,0,HLOOKUP("Gs - Open",A1:CV300,85,FALSE)/HLOOKUP("Gs",A1:CV300,85,FALSE))</f>
      </c>
      <c r="AS85" t="n" s="11277">
        <v>0.16</v>
      </c>
      <c r="AT85" t="n" s="11278">
        <v>0.02</v>
      </c>
      <c r="AU85" s="11279">
        <f>IF(HLOOKUP("Mins",A1:CV300,85,FALSE)=0,0,HLOOKUP("Pts",A1:CV300,85,FALSE)/HLOOKUP("Mins",A1:CV300,85,FALSE)* 90)</f>
      </c>
      <c r="AV85" s="11280">
        <f>IF(HLOOKUP("Apps",A1:CV300,85,FALSE)=0,0,HLOOKUP("Pts",A1:CV300,85,FALSE)/HLOOKUP("Apps",A1:CV300,85,FALSE)* 1)</f>
      </c>
      <c r="AW85" s="11281">
        <f>IF(HLOOKUP("Mins",A1:CV300,85,FALSE)=0,0,HLOOKUP("Gs",A1:CV300,85,FALSE)/HLOOKUP("Mins",A1:CV300,85,FALSE)* 90)</f>
      </c>
      <c r="AX85" s="11282">
        <f>IF(HLOOKUP("Mins",A1:CV300,85,FALSE)=0,0,HLOOKUP("Bonus",A1:CV300,85,FALSE)/HLOOKUP("Mins",A1:CV300,85,FALSE)* 90)</f>
      </c>
      <c r="AY85" s="11283">
        <f>IF(HLOOKUP("Mins",A1:CV300,85,FALSE)=0,0,HLOOKUP("BPS",A1:CV300,85,FALSE)/HLOOKUP("Mins",A1:CV300,85,FALSE)* 90)</f>
      </c>
      <c r="AZ85" s="11284">
        <f>IF(HLOOKUP("Mins",A1:CV300,85,FALSE)=0,0,HLOOKUP("Base BPS",A1:CV300,85,FALSE)/HLOOKUP("Mins",A1:CV300,85,FALSE)* 90)</f>
      </c>
      <c r="BA85" s="11285">
        <f>IF(HLOOKUP("Mins",A1:CV300,85,FALSE)=0,0,HLOOKUP("PenTchs",A1:CV300,85,FALSE)/HLOOKUP("Mins",A1:CV300,85,FALSE)* 90)</f>
      </c>
      <c r="BB85" s="11286">
        <f>IF(HLOOKUP("Mins",A1:CV300,85,FALSE)=0,0,HLOOKUP("Shots",A1:CV300,85,FALSE)/HLOOKUP("Mins",A1:CV300,85,FALSE)* 90)</f>
      </c>
      <c r="BC85" s="11287">
        <f>IF(HLOOKUP("Mins",A1:CV300,85,FALSE)=0,0,HLOOKUP("SIB",A1:CV300,85,FALSE)/HLOOKUP("Mins",A1:CV300,85,FALSE)* 90)</f>
      </c>
      <c r="BD85" s="11288">
        <f>IF(HLOOKUP("Mins",A1:CV300,85,FALSE)=0,0,HLOOKUP("S6YD",A1:CV300,85,FALSE)/HLOOKUP("Mins",A1:CV300,85,FALSE)* 90)</f>
      </c>
      <c r="BE85" s="11289">
        <f>IF(HLOOKUP("Mins",A1:CV300,85,FALSE)=0,0,HLOOKUP("Headers",A1:CV300,85,FALSE)/HLOOKUP("Mins",A1:CV300,85,FALSE)* 90)</f>
      </c>
      <c r="BF85" s="11290">
        <f>IF(HLOOKUP("Mins",A1:CV300,85,FALSE)=0,0,HLOOKUP("SOT",A1:CV300,85,FALSE)/HLOOKUP("Mins",A1:CV300,85,FALSE)* 90)</f>
      </c>
      <c r="BG85" s="11291">
        <f>IF(HLOOKUP("Mins",A1:CV300,85,FALSE)=0,0,HLOOKUP("As",A1:CV300,85,FALSE)/HLOOKUP("Mins",A1:CV300,85,FALSE)* 90)</f>
      </c>
      <c r="BH85" s="11292">
        <f>IF(HLOOKUP("Mins",A1:CV300,85,FALSE)=0,0,HLOOKUP("FPL As",A1:CV300,85,FALSE)/HLOOKUP("Mins",A1:CV300,85,FALSE)* 90)</f>
      </c>
      <c r="BI85" s="11293">
        <f>IF(HLOOKUP("Mins",A1:CV300,85,FALSE)=0,0,HLOOKUP("BC Created",A1:CV300,85,FALSE)/HLOOKUP("Mins",A1:CV300,85,FALSE)* 90)</f>
      </c>
      <c r="BJ85" s="11294">
        <f>IF(HLOOKUP("Mins",A1:CV300,85,FALSE)=0,0,HLOOKUP("KP",A1:CV300,85,FALSE)/HLOOKUP("Mins",A1:CV300,85,FALSE)* 90)</f>
      </c>
      <c r="BK85" s="11295">
        <f>IF(HLOOKUP("Mins",A1:CV300,85,FALSE)=0,0,HLOOKUP("BC",A1:CV300,85,FALSE)/HLOOKUP("Mins",A1:CV300,85,FALSE)* 90)</f>
      </c>
      <c r="BL85" s="11296">
        <f>IF(HLOOKUP("Mins",A1:CV300,85,FALSE)=0,0,HLOOKUP("BC Miss",A1:CV300,85,FALSE)/HLOOKUP("Mins",A1:CV300,85,FALSE)* 90)</f>
      </c>
      <c r="BM85" s="11297">
        <f>IF(HLOOKUP("Mins",A1:CV300,85,FALSE)=0,0,HLOOKUP("Gs - BC",A1:CV300,85,FALSE)/HLOOKUP("Mins",A1:CV300,85,FALSE)* 90)</f>
      </c>
      <c r="BN85" s="11298">
        <f>IF(HLOOKUP("Mins",A1:CV300,85,FALSE)=0,0,HLOOKUP("GIB",A1:CV300,85,FALSE)/HLOOKUP("Mins",A1:CV300,85,FALSE)* 90)</f>
      </c>
      <c r="BO85" s="11299">
        <f>IF(HLOOKUP("Mins",A1:CV300,85,FALSE)=0,0,HLOOKUP("Gs - Open",A1:CV300,85,FALSE)/HLOOKUP("Mins",A1:CV300,85,FALSE)* 90)</f>
      </c>
      <c r="BP85" s="11300">
        <f>IF(HLOOKUP("Mins",A1:CV300,85,FALSE)=0,0,HLOOKUP("ICT Index",A1:CV300,85,FALSE)/HLOOKUP("Mins",A1:CV300,85,FALSE)* 90)</f>
      </c>
      <c r="BQ85" s="11301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1302">
        <f>0.0825*HLOOKUP("KP/90",A1:CV300,85,FALSE)</f>
      </c>
      <c r="BS85" s="11303">
        <f>6*HLOOKUP("xG/90",A1:CV300,85,FALSE)+3*HLOOKUP("xA/90",A1:CV300,85,FALSE)</f>
      </c>
      <c r="BT85" s="11304">
        <f>HLOOKUP("xPts/90",A1:CV300,85,FALSE)-(6*0.75*(HLOOKUP("PK Gs",A1:CV300,85,FALSE)+HLOOKUP("PK Miss",A1:CV300,85,FALSE))*90/HLOOKUP("Mins",A1:CV300,85,FALSE))</f>
      </c>
      <c r="BU85" s="11305">
        <f>IF(HLOOKUP("Mins",A1:CV300,85,FALSE)=0,0,HLOOKUP("fsXG",A1:CV300,85,FALSE)/HLOOKUP("Mins",A1:CV300,85,FALSE)* 90)</f>
      </c>
      <c r="BV85" s="11306">
        <f>IF(HLOOKUP("Mins",A1:CV300,85,FALSE)=0,0,HLOOKUP("fsXA",A1:CV300,85,FALSE)/HLOOKUP("Mins",A1:CV300,85,FALSE)* 90)</f>
      </c>
      <c r="BW85" s="11307">
        <f>6*HLOOKUP("fsXG/90",A1:CV300,85,FALSE)+3*HLOOKUP("fsXA/90",A1:CV300,85,FALSE)</f>
      </c>
      <c r="BX85" t="n" s="11308">
        <v>0.01598515175282955</v>
      </c>
      <c r="BY85" t="n" s="11309">
        <v>0.0</v>
      </c>
      <c r="BZ85" s="11310">
        <f>6*HLOOKUP("uXG/90",A1:CV300,85,FALSE)+3*HLOOKUP("uXA/90",A1:CV300,85,FALSE)</f>
      </c>
    </row>
    <row r="86">
      <c r="A86" t="s" s="11311">
        <v>242</v>
      </c>
      <c r="B86" t="s" s="11312">
        <v>96</v>
      </c>
      <c r="C86" t="n" s="11313">
        <v>4.300000190734863</v>
      </c>
      <c r="D86" t="n" s="11314">
        <v>2.0</v>
      </c>
      <c r="E86" t="n" s="11315">
        <v>1.0</v>
      </c>
      <c r="F86" t="n" s="11316">
        <v>1.0</v>
      </c>
      <c r="G86" t="n" s="11317">
        <v>0.0</v>
      </c>
      <c r="H86" t="n" s="11318">
        <v>0.0</v>
      </c>
      <c r="I86" t="n" s="11319">
        <v>2.0</v>
      </c>
      <c r="J86" s="11320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1321">
        <v>0.0</v>
      </c>
      <c r="L86" t="n" s="11322">
        <v>0.0</v>
      </c>
      <c r="M86" t="n" s="11323">
        <v>0.0</v>
      </c>
      <c r="N86" t="n" s="11324">
        <v>0.0</v>
      </c>
      <c r="O86" t="n" s="11325">
        <v>0.0</v>
      </c>
      <c r="P86" s="11326">
        <f>IF(HLOOKUP("Shots",A1:CV300,86,FALSE)=0,0,HLOOKUP("SIB",A1:CV300,86,FALSE)/HLOOKUP("Shots",A1:CV300,86,FALSE))</f>
      </c>
      <c r="Q86" t="n" s="11327">
        <v>0.0</v>
      </c>
      <c r="R86" s="11328">
        <f>IF(HLOOKUP("Shots",A1:CV300,86,FALSE)=0,0,HLOOKUP("S6YD",A1:CV300,86,FALSE)/HLOOKUP("Shots",A1:CV300,86,FALSE))</f>
      </c>
      <c r="S86" t="n" s="11329">
        <v>0.0</v>
      </c>
      <c r="T86" s="11330">
        <f>IF(HLOOKUP("Shots",A1:CV300,86,FALSE)=0,0,HLOOKUP("Headers",A1:CV300,86,FALSE)/HLOOKUP("Shots",A1:CV300,86,FALSE))</f>
      </c>
      <c r="U86" t="n" s="11331">
        <v>0.0</v>
      </c>
      <c r="V86" s="11332">
        <f>IF(HLOOKUP("Shots",A1:CV300,86,FALSE)=0,0,HLOOKUP("SOT",A1:CV300,86,FALSE)/HLOOKUP("Shots",A1:CV300,86,FALSE))</f>
      </c>
      <c r="W86" s="11333">
        <f>IF(HLOOKUP("Shots",A1:CV300,86,FALSE)=0,0,HLOOKUP("Gs",A1:CV300,86,FALSE)/HLOOKUP("Shots",A1:CV300,86,FALSE))</f>
      </c>
      <c r="X86" t="n" s="11334">
        <v>0.0</v>
      </c>
      <c r="Y86" t="n" s="11335">
        <v>0.0</v>
      </c>
      <c r="Z86" t="n" s="11336">
        <v>0.0</v>
      </c>
      <c r="AA86" s="11337">
        <f>IF(HLOOKUP("KP",A1:CV300,86,FALSE)=0,0,HLOOKUP("As",A1:CV300,86,FALSE)/HLOOKUP("KP",A1:CV300,86,FALSE))</f>
      </c>
      <c r="AB86" t="n" s="11338">
        <v>0.0</v>
      </c>
      <c r="AC86" t="n" s="11339">
        <v>0.0</v>
      </c>
      <c r="AD86" t="n" s="11340">
        <v>0.0</v>
      </c>
      <c r="AE86" t="n" s="11341">
        <v>0.0</v>
      </c>
      <c r="AF86" t="n" s="11342">
        <v>0.0</v>
      </c>
      <c r="AG86" s="11343">
        <f>IF(HLOOKUP("BC",A1:CV300,86,FALSE)=0,0,HLOOKUP("Gs - BC",A1:CV300,86,FALSE)/HLOOKUP("BC",A1:CV300,86,FALSE))</f>
      </c>
      <c r="AH86" s="11344">
        <f>HLOOKUP("BC",A1:CV300,86,FALSE) - HLOOKUP("BC Miss",A1:CV300,86,FALSE)</f>
      </c>
      <c r="AI86" s="11345">
        <f>IF(HLOOKUP("Gs",A1:CV300,86,FALSE)=0,0,HLOOKUP("Gs - BC",A1:CV300,86,FALSE)/HLOOKUP("Gs",A1:CV300,86,FALSE))</f>
      </c>
      <c r="AJ86" t="n" s="11346">
        <v>0.0</v>
      </c>
      <c r="AK86" t="n" s="11347">
        <v>0.0</v>
      </c>
      <c r="AL86" s="11348">
        <f>HLOOKUP("BC",A1:CV300,86,FALSE) - (HLOOKUP("PK Gs",A1:CV300,86,FALSE) + HLOOKUP("PK Miss",A1:CV300,86,FALSE))</f>
      </c>
      <c r="AM86" s="11349">
        <f>HLOOKUP("BC Miss",A1:CV300,86,FALSE) - HLOOKUP("PK Miss",A1:CV300,86,FALSE)</f>
      </c>
      <c r="AN86" s="11350">
        <f>IF(HLOOKUP("BC - Open",A1:CV300,86,FALSE)=0,0,HLOOKUP("BC - Open Miss",A1:CV300,86,FALSE)/HLOOKUP("BC - Open",A1:CV300,86,FALSE))</f>
      </c>
      <c r="AO86" t="n" s="11351">
        <v>0.0</v>
      </c>
      <c r="AP86" s="11352">
        <f>IF(HLOOKUP("Gs",A1:CV300,86,FALSE)=0,0,HLOOKUP("GIB",A1:CV300,86,FALSE)/HLOOKUP("Gs",A1:CV300,86,FALSE))</f>
      </c>
      <c r="AQ86" t="n" s="11353">
        <v>0.0</v>
      </c>
      <c r="AR86" s="11354">
        <f>IF(HLOOKUP("Gs",A1:CV300,86,FALSE)=0,0,HLOOKUP("Gs - Open",A1:CV300,86,FALSE)/HLOOKUP("Gs",A1:CV300,86,FALSE))</f>
      </c>
      <c r="AS86" t="n" s="11355">
        <v>0.0</v>
      </c>
      <c r="AT86" t="n" s="11356">
        <v>0.0</v>
      </c>
      <c r="AU86" s="11357">
        <f>IF(HLOOKUP("Mins",A1:CV300,86,FALSE)=0,0,HLOOKUP("Pts",A1:CV300,86,FALSE)/HLOOKUP("Mins",A1:CV300,86,FALSE)* 90)</f>
      </c>
      <c r="AV86" s="11358">
        <f>IF(HLOOKUP("Apps",A1:CV300,86,FALSE)=0,0,HLOOKUP("Pts",A1:CV300,86,FALSE)/HLOOKUP("Apps",A1:CV300,86,FALSE)* 1)</f>
      </c>
      <c r="AW86" s="11359">
        <f>IF(HLOOKUP("Mins",A1:CV300,86,FALSE)=0,0,HLOOKUP("Gs",A1:CV300,86,FALSE)/HLOOKUP("Mins",A1:CV300,86,FALSE)* 90)</f>
      </c>
      <c r="AX86" s="11360">
        <f>IF(HLOOKUP("Mins",A1:CV300,86,FALSE)=0,0,HLOOKUP("Bonus",A1:CV300,86,FALSE)/HLOOKUP("Mins",A1:CV300,86,FALSE)* 90)</f>
      </c>
      <c r="AY86" s="11361">
        <f>IF(HLOOKUP("Mins",A1:CV300,86,FALSE)=0,0,HLOOKUP("BPS",A1:CV300,86,FALSE)/HLOOKUP("Mins",A1:CV300,86,FALSE)* 90)</f>
      </c>
      <c r="AZ86" s="11362">
        <f>IF(HLOOKUP("Mins",A1:CV300,86,FALSE)=0,0,HLOOKUP("Base BPS",A1:CV300,86,FALSE)/HLOOKUP("Mins",A1:CV300,86,FALSE)* 90)</f>
      </c>
      <c r="BA86" s="11363">
        <f>IF(HLOOKUP("Mins",A1:CV300,86,FALSE)=0,0,HLOOKUP("PenTchs",A1:CV300,86,FALSE)/HLOOKUP("Mins",A1:CV300,86,FALSE)* 90)</f>
      </c>
      <c r="BB86" s="11364">
        <f>IF(HLOOKUP("Mins",A1:CV300,86,FALSE)=0,0,HLOOKUP("Shots",A1:CV300,86,FALSE)/HLOOKUP("Mins",A1:CV300,86,FALSE)* 90)</f>
      </c>
      <c r="BC86" s="11365">
        <f>IF(HLOOKUP("Mins",A1:CV300,86,FALSE)=0,0,HLOOKUP("SIB",A1:CV300,86,FALSE)/HLOOKUP("Mins",A1:CV300,86,FALSE)* 90)</f>
      </c>
      <c r="BD86" s="11366">
        <f>IF(HLOOKUP("Mins",A1:CV300,86,FALSE)=0,0,HLOOKUP("S6YD",A1:CV300,86,FALSE)/HLOOKUP("Mins",A1:CV300,86,FALSE)* 90)</f>
      </c>
      <c r="BE86" s="11367">
        <f>IF(HLOOKUP("Mins",A1:CV300,86,FALSE)=0,0,HLOOKUP("Headers",A1:CV300,86,FALSE)/HLOOKUP("Mins",A1:CV300,86,FALSE)* 90)</f>
      </c>
      <c r="BF86" s="11368">
        <f>IF(HLOOKUP("Mins",A1:CV300,86,FALSE)=0,0,HLOOKUP("SOT",A1:CV300,86,FALSE)/HLOOKUP("Mins",A1:CV300,86,FALSE)* 90)</f>
      </c>
      <c r="BG86" s="11369">
        <f>IF(HLOOKUP("Mins",A1:CV300,86,FALSE)=0,0,HLOOKUP("As",A1:CV300,86,FALSE)/HLOOKUP("Mins",A1:CV300,86,FALSE)* 90)</f>
      </c>
      <c r="BH86" s="11370">
        <f>IF(HLOOKUP("Mins",A1:CV300,86,FALSE)=0,0,HLOOKUP("FPL As",A1:CV300,86,FALSE)/HLOOKUP("Mins",A1:CV300,86,FALSE)* 90)</f>
      </c>
      <c r="BI86" s="11371">
        <f>IF(HLOOKUP("Mins",A1:CV300,86,FALSE)=0,0,HLOOKUP("BC Created",A1:CV300,86,FALSE)/HLOOKUP("Mins",A1:CV300,86,FALSE)* 90)</f>
      </c>
      <c r="BJ86" s="11372">
        <f>IF(HLOOKUP("Mins",A1:CV300,86,FALSE)=0,0,HLOOKUP("KP",A1:CV300,86,FALSE)/HLOOKUP("Mins",A1:CV300,86,FALSE)* 90)</f>
      </c>
      <c r="BK86" s="11373">
        <f>IF(HLOOKUP("Mins",A1:CV300,86,FALSE)=0,0,HLOOKUP("BC",A1:CV300,86,FALSE)/HLOOKUP("Mins",A1:CV300,86,FALSE)* 90)</f>
      </c>
      <c r="BL86" s="11374">
        <f>IF(HLOOKUP("Mins",A1:CV300,86,FALSE)=0,0,HLOOKUP("BC Miss",A1:CV300,86,FALSE)/HLOOKUP("Mins",A1:CV300,86,FALSE)* 90)</f>
      </c>
      <c r="BM86" s="11375">
        <f>IF(HLOOKUP("Mins",A1:CV300,86,FALSE)=0,0,HLOOKUP("Gs - BC",A1:CV300,86,FALSE)/HLOOKUP("Mins",A1:CV300,86,FALSE)* 90)</f>
      </c>
      <c r="BN86" s="11376">
        <f>IF(HLOOKUP("Mins",A1:CV300,86,FALSE)=0,0,HLOOKUP("GIB",A1:CV300,86,FALSE)/HLOOKUP("Mins",A1:CV300,86,FALSE)* 90)</f>
      </c>
      <c r="BO86" s="11377">
        <f>IF(HLOOKUP("Mins",A1:CV300,86,FALSE)=0,0,HLOOKUP("Gs - Open",A1:CV300,86,FALSE)/HLOOKUP("Mins",A1:CV300,86,FALSE)* 90)</f>
      </c>
      <c r="BP86" s="11378">
        <f>IF(HLOOKUP("Mins",A1:CV300,86,FALSE)=0,0,HLOOKUP("ICT Index",A1:CV300,86,FALSE)/HLOOKUP("Mins",A1:CV300,86,FALSE)* 90)</f>
      </c>
      <c r="BQ86" s="11379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1380">
        <f>0.0825*HLOOKUP("KP/90",A1:CV300,86,FALSE)</f>
      </c>
      <c r="BS86" s="11381">
        <f>6*HLOOKUP("xG/90",A1:CV300,86,FALSE)+3*HLOOKUP("xA/90",A1:CV300,86,FALSE)</f>
      </c>
      <c r="BT86" s="11382">
        <f>HLOOKUP("xPts/90",A1:CV300,86,FALSE)-(6*0.75*(HLOOKUP("PK Gs",A1:CV300,86,FALSE)+HLOOKUP("PK Miss",A1:CV300,86,FALSE))*90/HLOOKUP("Mins",A1:CV300,86,FALSE))</f>
      </c>
      <c r="BU86" s="11383">
        <f>IF(HLOOKUP("Mins",A1:CV300,86,FALSE)=0,0,HLOOKUP("fsXG",A1:CV300,86,FALSE)/HLOOKUP("Mins",A1:CV300,86,FALSE)* 90)</f>
      </c>
      <c r="BV86" s="11384">
        <f>IF(HLOOKUP("Mins",A1:CV300,86,FALSE)=0,0,HLOOKUP("fsXA",A1:CV300,86,FALSE)/HLOOKUP("Mins",A1:CV300,86,FALSE)* 90)</f>
      </c>
      <c r="BW86" s="11385">
        <f>6*HLOOKUP("fsXG/90",A1:CV300,86,FALSE)+3*HLOOKUP("fsXA/90",A1:CV300,86,FALSE)</f>
      </c>
      <c r="BX86" t="n" s="11386">
        <v>0.0</v>
      </c>
      <c r="BY86" t="n" s="11387">
        <v>0.0</v>
      </c>
      <c r="BZ86" s="11388">
        <f>6*HLOOKUP("uXG/90",A1:CV300,86,FALSE)+3*HLOOKUP("uXA/90",A1:CV300,86,FALSE)</f>
      </c>
    </row>
    <row r="87">
      <c r="A87" t="s" s="11389">
        <v>243</v>
      </c>
      <c r="B87" t="s" s="11390">
        <v>117</v>
      </c>
      <c r="C87" t="n" s="11391">
        <v>4.199999809265137</v>
      </c>
      <c r="D87" t="n" s="11392">
        <v>417.0</v>
      </c>
      <c r="E87" t="n" s="11393">
        <v>5.0</v>
      </c>
      <c r="F87" t="n" s="11394">
        <v>17.0</v>
      </c>
      <c r="G87" t="n" s="11395">
        <v>0.0</v>
      </c>
      <c r="H87" t="n" s="11396">
        <v>1.0</v>
      </c>
      <c r="I87" t="n" s="11397">
        <v>126.0</v>
      </c>
      <c r="J87" s="11398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1399">
        <v>0.0</v>
      </c>
      <c r="L87" t="n" s="11400">
        <v>2.0</v>
      </c>
      <c r="M87" t="n" s="11401">
        <v>2.0</v>
      </c>
      <c r="N87" t="n" s="11402">
        <v>1.0</v>
      </c>
      <c r="O87" t="n" s="11403">
        <v>1.0</v>
      </c>
      <c r="P87" s="11404">
        <f>IF(HLOOKUP("Shots",A1:CV300,87,FALSE)=0,0,HLOOKUP("SIB",A1:CV300,87,FALSE)/HLOOKUP("Shots",A1:CV300,87,FALSE))</f>
      </c>
      <c r="Q87" t="n" s="11405">
        <v>0.0</v>
      </c>
      <c r="R87" s="11406">
        <f>IF(HLOOKUP("Shots",A1:CV300,87,FALSE)=0,0,HLOOKUP("S6YD",A1:CV300,87,FALSE)/HLOOKUP("Shots",A1:CV300,87,FALSE))</f>
      </c>
      <c r="S87" t="n" s="11407">
        <v>1.0</v>
      </c>
      <c r="T87" s="11408">
        <f>IF(HLOOKUP("Shots",A1:CV300,87,FALSE)=0,0,HLOOKUP("Headers",A1:CV300,87,FALSE)/HLOOKUP("Shots",A1:CV300,87,FALSE))</f>
      </c>
      <c r="U87" t="n" s="11409">
        <v>0.0</v>
      </c>
      <c r="V87" s="11410">
        <f>IF(HLOOKUP("Shots",A1:CV300,87,FALSE)=0,0,HLOOKUP("SOT",A1:CV300,87,FALSE)/HLOOKUP("Shots",A1:CV300,87,FALSE))</f>
      </c>
      <c r="W87" s="11411">
        <f>IF(HLOOKUP("Shots",A1:CV300,87,FALSE)=0,0,HLOOKUP("Gs",A1:CV300,87,FALSE)/HLOOKUP("Shots",A1:CV300,87,FALSE))</f>
      </c>
      <c r="X87" t="n" s="11412">
        <v>0.0</v>
      </c>
      <c r="Y87" t="n" s="11413">
        <v>0.0</v>
      </c>
      <c r="Z87" t="n" s="11414">
        <v>3.0</v>
      </c>
      <c r="AA87" s="11415">
        <f>IF(HLOOKUP("KP",A1:CV300,87,FALSE)=0,0,HLOOKUP("As",A1:CV300,87,FALSE)/HLOOKUP("KP",A1:CV300,87,FALSE))</f>
      </c>
      <c r="AB87" t="n" s="11416">
        <v>12.1</v>
      </c>
      <c r="AC87" t="n" s="11417">
        <v>0.0</v>
      </c>
      <c r="AD87" t="n" s="11418">
        <v>0.0</v>
      </c>
      <c r="AE87" t="n" s="11419">
        <v>0.0</v>
      </c>
      <c r="AF87" t="n" s="11420">
        <v>0.0</v>
      </c>
      <c r="AG87" s="11421">
        <f>IF(HLOOKUP("BC",A1:CV300,87,FALSE)=0,0,HLOOKUP("Gs - BC",A1:CV300,87,FALSE)/HLOOKUP("BC",A1:CV300,87,FALSE))</f>
      </c>
      <c r="AH87" s="11422">
        <f>HLOOKUP("BC",A1:CV300,87,FALSE) - HLOOKUP("BC Miss",A1:CV300,87,FALSE)</f>
      </c>
      <c r="AI87" s="11423">
        <f>IF(HLOOKUP("Gs",A1:CV300,87,FALSE)=0,0,HLOOKUP("Gs - BC",A1:CV300,87,FALSE)/HLOOKUP("Gs",A1:CV300,87,FALSE))</f>
      </c>
      <c r="AJ87" t="n" s="11424">
        <v>0.0</v>
      </c>
      <c r="AK87" t="n" s="11425">
        <v>0.0</v>
      </c>
      <c r="AL87" s="11426">
        <f>HLOOKUP("BC",A1:CV300,87,FALSE) - (HLOOKUP("PK Gs",A1:CV300,87,FALSE) + HLOOKUP("PK Miss",A1:CV300,87,FALSE))</f>
      </c>
      <c r="AM87" s="11427">
        <f>HLOOKUP("BC Miss",A1:CV300,87,FALSE) - HLOOKUP("PK Miss",A1:CV300,87,FALSE)</f>
      </c>
      <c r="AN87" s="11428">
        <f>IF(HLOOKUP("BC - Open",A1:CV300,87,FALSE)=0,0,HLOOKUP("BC - Open Miss",A1:CV300,87,FALSE)/HLOOKUP("BC - Open",A1:CV300,87,FALSE))</f>
      </c>
      <c r="AO87" t="n" s="11429">
        <v>0.0</v>
      </c>
      <c r="AP87" s="11430">
        <f>IF(HLOOKUP("Gs",A1:CV300,87,FALSE)=0,0,HLOOKUP("GIB",A1:CV300,87,FALSE)/HLOOKUP("Gs",A1:CV300,87,FALSE))</f>
      </c>
      <c r="AQ87" t="n" s="11431">
        <v>0.0</v>
      </c>
      <c r="AR87" s="11432">
        <f>IF(HLOOKUP("Gs",A1:CV300,87,FALSE)=0,0,HLOOKUP("Gs - Open",A1:CV300,87,FALSE)/HLOOKUP("Gs",A1:CV300,87,FALSE))</f>
      </c>
      <c r="AS87" t="n" s="11433">
        <v>0.07</v>
      </c>
      <c r="AT87" t="n" s="11434">
        <v>0.09</v>
      </c>
      <c r="AU87" s="11435">
        <f>IF(HLOOKUP("Mins",A1:CV300,87,FALSE)=0,0,HLOOKUP("Pts",A1:CV300,87,FALSE)/HLOOKUP("Mins",A1:CV300,87,FALSE)* 90)</f>
      </c>
      <c r="AV87" s="11436">
        <f>IF(HLOOKUP("Apps",A1:CV300,87,FALSE)=0,0,HLOOKUP("Pts",A1:CV300,87,FALSE)/HLOOKUP("Apps",A1:CV300,87,FALSE)* 1)</f>
      </c>
      <c r="AW87" s="11437">
        <f>IF(HLOOKUP("Mins",A1:CV300,87,FALSE)=0,0,HLOOKUP("Gs",A1:CV300,87,FALSE)/HLOOKUP("Mins",A1:CV300,87,FALSE)* 90)</f>
      </c>
      <c r="AX87" s="11438">
        <f>IF(HLOOKUP("Mins",A1:CV300,87,FALSE)=0,0,HLOOKUP("Bonus",A1:CV300,87,FALSE)/HLOOKUP("Mins",A1:CV300,87,FALSE)* 90)</f>
      </c>
      <c r="AY87" s="11439">
        <f>IF(HLOOKUP("Mins",A1:CV300,87,FALSE)=0,0,HLOOKUP("BPS",A1:CV300,87,FALSE)/HLOOKUP("Mins",A1:CV300,87,FALSE)* 90)</f>
      </c>
      <c r="AZ87" s="11440">
        <f>IF(HLOOKUP("Mins",A1:CV300,87,FALSE)=0,0,HLOOKUP("Base BPS",A1:CV300,87,FALSE)/HLOOKUP("Mins",A1:CV300,87,FALSE)* 90)</f>
      </c>
      <c r="BA87" s="11441">
        <f>IF(HLOOKUP("Mins",A1:CV300,87,FALSE)=0,0,HLOOKUP("PenTchs",A1:CV300,87,FALSE)/HLOOKUP("Mins",A1:CV300,87,FALSE)* 90)</f>
      </c>
      <c r="BB87" s="11442">
        <f>IF(HLOOKUP("Mins",A1:CV300,87,FALSE)=0,0,HLOOKUP("Shots",A1:CV300,87,FALSE)/HLOOKUP("Mins",A1:CV300,87,FALSE)* 90)</f>
      </c>
      <c r="BC87" s="11443">
        <f>IF(HLOOKUP("Mins",A1:CV300,87,FALSE)=0,0,HLOOKUP("SIB",A1:CV300,87,FALSE)/HLOOKUP("Mins",A1:CV300,87,FALSE)* 90)</f>
      </c>
      <c r="BD87" s="11444">
        <f>IF(HLOOKUP("Mins",A1:CV300,87,FALSE)=0,0,HLOOKUP("S6YD",A1:CV300,87,FALSE)/HLOOKUP("Mins",A1:CV300,87,FALSE)* 90)</f>
      </c>
      <c r="BE87" s="11445">
        <f>IF(HLOOKUP("Mins",A1:CV300,87,FALSE)=0,0,HLOOKUP("Headers",A1:CV300,87,FALSE)/HLOOKUP("Mins",A1:CV300,87,FALSE)* 90)</f>
      </c>
      <c r="BF87" s="11446">
        <f>IF(HLOOKUP("Mins",A1:CV300,87,FALSE)=0,0,HLOOKUP("SOT",A1:CV300,87,FALSE)/HLOOKUP("Mins",A1:CV300,87,FALSE)* 90)</f>
      </c>
      <c r="BG87" s="11447">
        <f>IF(HLOOKUP("Mins",A1:CV300,87,FALSE)=0,0,HLOOKUP("As",A1:CV300,87,FALSE)/HLOOKUP("Mins",A1:CV300,87,FALSE)* 90)</f>
      </c>
      <c r="BH87" s="11448">
        <f>IF(HLOOKUP("Mins",A1:CV300,87,FALSE)=0,0,HLOOKUP("FPL As",A1:CV300,87,FALSE)/HLOOKUP("Mins",A1:CV300,87,FALSE)* 90)</f>
      </c>
      <c r="BI87" s="11449">
        <f>IF(HLOOKUP("Mins",A1:CV300,87,FALSE)=0,0,HLOOKUP("BC Created",A1:CV300,87,FALSE)/HLOOKUP("Mins",A1:CV300,87,FALSE)* 90)</f>
      </c>
      <c r="BJ87" s="11450">
        <f>IF(HLOOKUP("Mins",A1:CV300,87,FALSE)=0,0,HLOOKUP("KP",A1:CV300,87,FALSE)/HLOOKUP("Mins",A1:CV300,87,FALSE)* 90)</f>
      </c>
      <c r="BK87" s="11451">
        <f>IF(HLOOKUP("Mins",A1:CV300,87,FALSE)=0,0,HLOOKUP("BC",A1:CV300,87,FALSE)/HLOOKUP("Mins",A1:CV300,87,FALSE)* 90)</f>
      </c>
      <c r="BL87" s="11452">
        <f>IF(HLOOKUP("Mins",A1:CV300,87,FALSE)=0,0,HLOOKUP("BC Miss",A1:CV300,87,FALSE)/HLOOKUP("Mins",A1:CV300,87,FALSE)* 90)</f>
      </c>
      <c r="BM87" s="11453">
        <f>IF(HLOOKUP("Mins",A1:CV300,87,FALSE)=0,0,HLOOKUP("Gs - BC",A1:CV300,87,FALSE)/HLOOKUP("Mins",A1:CV300,87,FALSE)* 90)</f>
      </c>
      <c r="BN87" s="11454">
        <f>IF(HLOOKUP("Mins",A1:CV300,87,FALSE)=0,0,HLOOKUP("GIB",A1:CV300,87,FALSE)/HLOOKUP("Mins",A1:CV300,87,FALSE)* 90)</f>
      </c>
      <c r="BO87" s="11455">
        <f>IF(HLOOKUP("Mins",A1:CV300,87,FALSE)=0,0,HLOOKUP("Gs - Open",A1:CV300,87,FALSE)/HLOOKUP("Mins",A1:CV300,87,FALSE)* 90)</f>
      </c>
      <c r="BP87" s="11456">
        <f>IF(HLOOKUP("Mins",A1:CV300,87,FALSE)=0,0,HLOOKUP("ICT Index",A1:CV300,87,FALSE)/HLOOKUP("Mins",A1:CV300,87,FALSE)* 90)</f>
      </c>
      <c r="BQ87" s="11457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1458">
        <f>0.0825*HLOOKUP("KP/90",A1:CV300,87,FALSE)</f>
      </c>
      <c r="BS87" s="11459">
        <f>6*HLOOKUP("xG/90",A1:CV300,87,FALSE)+3*HLOOKUP("xA/90",A1:CV300,87,FALSE)</f>
      </c>
      <c r="BT87" s="11460">
        <f>HLOOKUP("xPts/90",A1:CV300,87,FALSE)-(6*0.75*(HLOOKUP("PK Gs",A1:CV300,87,FALSE)+HLOOKUP("PK Miss",A1:CV300,87,FALSE))*90/HLOOKUP("Mins",A1:CV300,87,FALSE))</f>
      </c>
      <c r="BU87" s="11461">
        <f>IF(HLOOKUP("Mins",A1:CV300,87,FALSE)=0,0,HLOOKUP("fsXG",A1:CV300,87,FALSE)/HLOOKUP("Mins",A1:CV300,87,FALSE)* 90)</f>
      </c>
      <c r="BV87" s="11462">
        <f>IF(HLOOKUP("Mins",A1:CV300,87,FALSE)=0,0,HLOOKUP("fsXA",A1:CV300,87,FALSE)/HLOOKUP("Mins",A1:CV300,87,FALSE)* 90)</f>
      </c>
      <c r="BW87" s="11463">
        <f>6*HLOOKUP("fsXG/90",A1:CV300,87,FALSE)+3*HLOOKUP("fsXA/90",A1:CV300,87,FALSE)</f>
      </c>
      <c r="BX87" t="n" s="11464">
        <v>0.017336485907435417</v>
      </c>
      <c r="BY87" t="n" s="11465">
        <v>0.036165330559015274</v>
      </c>
      <c r="BZ87" s="11466">
        <f>6*HLOOKUP("uXG/90",A1:CV300,87,FALSE)+3*HLOOKUP("uXA/90",A1:CV300,87,FALSE)</f>
      </c>
    </row>
    <row r="88">
      <c r="A88" t="s" s="11467">
        <v>244</v>
      </c>
      <c r="B88" t="s" s="11468">
        <v>100</v>
      </c>
      <c r="C88" t="n" s="11469">
        <v>6.099999904632568</v>
      </c>
      <c r="D88" t="n" s="11470">
        <v>450.0</v>
      </c>
      <c r="E88" t="n" s="11471">
        <v>5.0</v>
      </c>
      <c r="F88" t="n" s="11472">
        <v>75.0</v>
      </c>
      <c r="G88" t="n" s="11473">
        <v>1.0</v>
      </c>
      <c r="H88" t="n" s="11474">
        <v>6.0</v>
      </c>
      <c r="I88" t="n" s="11475">
        <v>258.0</v>
      </c>
      <c r="J88" s="11476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1477">
        <v>0.0</v>
      </c>
      <c r="L88" t="n" s="11478">
        <v>3.0</v>
      </c>
      <c r="M88" t="n" s="11479">
        <v>18.0</v>
      </c>
      <c r="N88" t="n" s="11480">
        <v>8.0</v>
      </c>
      <c r="O88" t="n" s="11481">
        <v>8.0</v>
      </c>
      <c r="P88" s="11482">
        <f>IF(HLOOKUP("Shots",A1:CV300,88,FALSE)=0,0,HLOOKUP("SIB",A1:CV300,88,FALSE)/HLOOKUP("Shots",A1:CV300,88,FALSE))</f>
      </c>
      <c r="Q88" t="n" s="11483">
        <v>1.0</v>
      </c>
      <c r="R88" s="11484">
        <f>IF(HLOOKUP("Shots",A1:CV300,88,FALSE)=0,0,HLOOKUP("S6YD",A1:CV300,88,FALSE)/HLOOKUP("Shots",A1:CV300,88,FALSE))</f>
      </c>
      <c r="S88" t="n" s="11485">
        <v>3.0</v>
      </c>
      <c r="T88" s="11486">
        <f>IF(HLOOKUP("Shots",A1:CV300,88,FALSE)=0,0,HLOOKUP("Headers",A1:CV300,88,FALSE)/HLOOKUP("Shots",A1:CV300,88,FALSE))</f>
      </c>
      <c r="U88" t="n" s="11487">
        <v>4.0</v>
      </c>
      <c r="V88" s="11488">
        <f>IF(HLOOKUP("Shots",A1:CV300,88,FALSE)=0,0,HLOOKUP("SOT",A1:CV300,88,FALSE)/HLOOKUP("Shots",A1:CV300,88,FALSE))</f>
      </c>
      <c r="W88" s="11489">
        <f>IF(HLOOKUP("Shots",A1:CV300,88,FALSE)=0,0,HLOOKUP("Gs",A1:CV300,88,FALSE)/HLOOKUP("Shots",A1:CV300,88,FALSE))</f>
      </c>
      <c r="X88" t="n" s="11490">
        <v>0.0</v>
      </c>
      <c r="Y88" t="n" s="11491">
        <v>3.0</v>
      </c>
      <c r="Z88" t="n" s="11492">
        <v>3.0</v>
      </c>
      <c r="AA88" s="11493">
        <f>IF(HLOOKUP("KP",A1:CV300,88,FALSE)=0,0,HLOOKUP("As",A1:CV300,88,FALSE)/HLOOKUP("KP",A1:CV300,88,FALSE))</f>
      </c>
      <c r="AB88" t="n" s="11494">
        <v>30.0</v>
      </c>
      <c r="AC88" t="n" s="11495">
        <v>25.0</v>
      </c>
      <c r="AD88" t="n" s="11496">
        <v>0.0</v>
      </c>
      <c r="AE88" t="n" s="11497">
        <v>5.0</v>
      </c>
      <c r="AF88" t="n" s="11498">
        <v>5.0</v>
      </c>
      <c r="AG88" s="11499">
        <f>IF(HLOOKUP("BC",A1:CV300,88,FALSE)=0,0,HLOOKUP("Gs - BC",A1:CV300,88,FALSE)/HLOOKUP("BC",A1:CV300,88,FALSE))</f>
      </c>
      <c r="AH88" s="11500">
        <f>HLOOKUP("BC",A1:CV300,88,FALSE) - HLOOKUP("BC Miss",A1:CV300,88,FALSE)</f>
      </c>
      <c r="AI88" s="11501">
        <f>IF(HLOOKUP("Gs",A1:CV300,88,FALSE)=0,0,HLOOKUP("Gs - BC",A1:CV300,88,FALSE)/HLOOKUP("Gs",A1:CV300,88,FALSE))</f>
      </c>
      <c r="AJ88" t="n" s="11502">
        <v>0.0</v>
      </c>
      <c r="AK88" t="n" s="11503">
        <v>0.0</v>
      </c>
      <c r="AL88" s="11504">
        <f>HLOOKUP("BC",A1:CV300,88,FALSE) - (HLOOKUP("PK Gs",A1:CV300,88,FALSE) + HLOOKUP("PK Miss",A1:CV300,88,FALSE))</f>
      </c>
      <c r="AM88" s="11505">
        <f>HLOOKUP("BC Miss",A1:CV300,88,FALSE) - HLOOKUP("PK Miss",A1:CV300,88,FALSE)</f>
      </c>
      <c r="AN88" s="11506">
        <f>IF(HLOOKUP("BC - Open",A1:CV300,88,FALSE)=0,0,HLOOKUP("BC - Open Miss",A1:CV300,88,FALSE)/HLOOKUP("BC - Open",A1:CV300,88,FALSE))</f>
      </c>
      <c r="AO88" t="n" s="11507">
        <v>1.0</v>
      </c>
      <c r="AP88" s="11508">
        <f>IF(HLOOKUP("Gs",A1:CV300,88,FALSE)=0,0,HLOOKUP("GIB",A1:CV300,88,FALSE)/HLOOKUP("Gs",A1:CV300,88,FALSE))</f>
      </c>
      <c r="AQ88" t="n" s="11509">
        <v>1.0</v>
      </c>
      <c r="AR88" s="11510">
        <f>IF(HLOOKUP("Gs",A1:CV300,88,FALSE)=0,0,HLOOKUP("Gs - Open",A1:CV300,88,FALSE)/HLOOKUP("Gs",A1:CV300,88,FALSE))</f>
      </c>
      <c r="AS88" t="n" s="11511">
        <v>2.05</v>
      </c>
      <c r="AT88" t="n" s="11512">
        <v>0.17</v>
      </c>
      <c r="AU88" s="11513">
        <f>IF(HLOOKUP("Mins",A1:CV300,88,FALSE)=0,0,HLOOKUP("Pts",A1:CV300,88,FALSE)/HLOOKUP("Mins",A1:CV300,88,FALSE)* 90)</f>
      </c>
      <c r="AV88" s="11514">
        <f>IF(HLOOKUP("Apps",A1:CV300,88,FALSE)=0,0,HLOOKUP("Pts",A1:CV300,88,FALSE)/HLOOKUP("Apps",A1:CV300,88,FALSE)* 1)</f>
      </c>
      <c r="AW88" s="11515">
        <f>IF(HLOOKUP("Mins",A1:CV300,88,FALSE)=0,0,HLOOKUP("Gs",A1:CV300,88,FALSE)/HLOOKUP("Mins",A1:CV300,88,FALSE)* 90)</f>
      </c>
      <c r="AX88" s="11516">
        <f>IF(HLOOKUP("Mins",A1:CV300,88,FALSE)=0,0,HLOOKUP("Bonus",A1:CV300,88,FALSE)/HLOOKUP("Mins",A1:CV300,88,FALSE)* 90)</f>
      </c>
      <c r="AY88" s="11517">
        <f>IF(HLOOKUP("Mins",A1:CV300,88,FALSE)=0,0,HLOOKUP("BPS",A1:CV300,88,FALSE)/HLOOKUP("Mins",A1:CV300,88,FALSE)* 90)</f>
      </c>
      <c r="AZ88" s="11518">
        <f>IF(HLOOKUP("Mins",A1:CV300,88,FALSE)=0,0,HLOOKUP("Base BPS",A1:CV300,88,FALSE)/HLOOKUP("Mins",A1:CV300,88,FALSE)* 90)</f>
      </c>
      <c r="BA88" s="11519">
        <f>IF(HLOOKUP("Mins",A1:CV300,88,FALSE)=0,0,HLOOKUP("PenTchs",A1:CV300,88,FALSE)/HLOOKUP("Mins",A1:CV300,88,FALSE)* 90)</f>
      </c>
      <c r="BB88" s="11520">
        <f>IF(HLOOKUP("Mins",A1:CV300,88,FALSE)=0,0,HLOOKUP("Shots",A1:CV300,88,FALSE)/HLOOKUP("Mins",A1:CV300,88,FALSE)* 90)</f>
      </c>
      <c r="BC88" s="11521">
        <f>IF(HLOOKUP("Mins",A1:CV300,88,FALSE)=0,0,HLOOKUP("SIB",A1:CV300,88,FALSE)/HLOOKUP("Mins",A1:CV300,88,FALSE)* 90)</f>
      </c>
      <c r="BD88" s="11522">
        <f>IF(HLOOKUP("Mins",A1:CV300,88,FALSE)=0,0,HLOOKUP("S6YD",A1:CV300,88,FALSE)/HLOOKUP("Mins",A1:CV300,88,FALSE)* 90)</f>
      </c>
      <c r="BE88" s="11523">
        <f>IF(HLOOKUP("Mins",A1:CV300,88,FALSE)=0,0,HLOOKUP("Headers",A1:CV300,88,FALSE)/HLOOKUP("Mins",A1:CV300,88,FALSE)* 90)</f>
      </c>
      <c r="BF88" s="11524">
        <f>IF(HLOOKUP("Mins",A1:CV300,88,FALSE)=0,0,HLOOKUP("SOT",A1:CV300,88,FALSE)/HLOOKUP("Mins",A1:CV300,88,FALSE)* 90)</f>
      </c>
      <c r="BG88" s="11525">
        <f>IF(HLOOKUP("Mins",A1:CV300,88,FALSE)=0,0,HLOOKUP("As",A1:CV300,88,FALSE)/HLOOKUP("Mins",A1:CV300,88,FALSE)* 90)</f>
      </c>
      <c r="BH88" s="11526">
        <f>IF(HLOOKUP("Mins",A1:CV300,88,FALSE)=0,0,HLOOKUP("FPL As",A1:CV300,88,FALSE)/HLOOKUP("Mins",A1:CV300,88,FALSE)* 90)</f>
      </c>
      <c r="BI88" s="11527">
        <f>IF(HLOOKUP("Mins",A1:CV300,88,FALSE)=0,0,HLOOKUP("BC Created",A1:CV300,88,FALSE)/HLOOKUP("Mins",A1:CV300,88,FALSE)* 90)</f>
      </c>
      <c r="BJ88" s="11528">
        <f>IF(HLOOKUP("Mins",A1:CV300,88,FALSE)=0,0,HLOOKUP("KP",A1:CV300,88,FALSE)/HLOOKUP("Mins",A1:CV300,88,FALSE)* 90)</f>
      </c>
      <c r="BK88" s="11529">
        <f>IF(HLOOKUP("Mins",A1:CV300,88,FALSE)=0,0,HLOOKUP("BC",A1:CV300,88,FALSE)/HLOOKUP("Mins",A1:CV300,88,FALSE)* 90)</f>
      </c>
      <c r="BL88" s="11530">
        <f>IF(HLOOKUP("Mins",A1:CV300,88,FALSE)=0,0,HLOOKUP("BC Miss",A1:CV300,88,FALSE)/HLOOKUP("Mins",A1:CV300,88,FALSE)* 90)</f>
      </c>
      <c r="BM88" s="11531">
        <f>IF(HLOOKUP("Mins",A1:CV300,88,FALSE)=0,0,HLOOKUP("Gs - BC",A1:CV300,88,FALSE)/HLOOKUP("Mins",A1:CV300,88,FALSE)* 90)</f>
      </c>
      <c r="BN88" s="11532">
        <f>IF(HLOOKUP("Mins",A1:CV300,88,FALSE)=0,0,HLOOKUP("GIB",A1:CV300,88,FALSE)/HLOOKUP("Mins",A1:CV300,88,FALSE)* 90)</f>
      </c>
      <c r="BO88" s="11533">
        <f>IF(HLOOKUP("Mins",A1:CV300,88,FALSE)=0,0,HLOOKUP("Gs - Open",A1:CV300,88,FALSE)/HLOOKUP("Mins",A1:CV300,88,FALSE)* 90)</f>
      </c>
      <c r="BP88" s="11534">
        <f>IF(HLOOKUP("Mins",A1:CV300,88,FALSE)=0,0,HLOOKUP("ICT Index",A1:CV300,88,FALSE)/HLOOKUP("Mins",A1:CV300,88,FALSE)* 90)</f>
      </c>
      <c r="BQ88" s="11535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1536">
        <f>0.0825*HLOOKUP("KP/90",A1:CV300,88,FALSE)</f>
      </c>
      <c r="BS88" s="11537">
        <f>6*HLOOKUP("xG/90",A1:CV300,88,FALSE)+3*HLOOKUP("xA/90",A1:CV300,88,FALSE)</f>
      </c>
      <c r="BT88" s="11538">
        <f>HLOOKUP("xPts/90",A1:CV300,88,FALSE)-(6*0.75*(HLOOKUP("PK Gs",A1:CV300,88,FALSE)+HLOOKUP("PK Miss",A1:CV300,88,FALSE))*90/HLOOKUP("Mins",A1:CV300,88,FALSE))</f>
      </c>
      <c r="BU88" s="11539">
        <f>IF(HLOOKUP("Mins",A1:CV300,88,FALSE)=0,0,HLOOKUP("fsXG",A1:CV300,88,FALSE)/HLOOKUP("Mins",A1:CV300,88,FALSE)* 90)</f>
      </c>
      <c r="BV88" s="11540">
        <f>IF(HLOOKUP("Mins",A1:CV300,88,FALSE)=0,0,HLOOKUP("fsXA",A1:CV300,88,FALSE)/HLOOKUP("Mins",A1:CV300,88,FALSE)* 90)</f>
      </c>
      <c r="BW88" s="11541">
        <f>6*HLOOKUP("fsXG/90",A1:CV300,88,FALSE)+3*HLOOKUP("fsXA/90",A1:CV300,88,FALSE)</f>
      </c>
      <c r="BX88" t="n" s="11542">
        <v>0.3733033835887909</v>
      </c>
      <c r="BY88" t="n" s="11543">
        <v>0.029056420549750328</v>
      </c>
      <c r="BZ88" s="11544">
        <f>6*HLOOKUP("uXG/90",A1:CV300,88,FALSE)+3*HLOOKUP("uXA/90",A1:CV300,88,FALSE)</f>
      </c>
    </row>
    <row r="89">
      <c r="A89" t="s" s="11545">
        <v>245</v>
      </c>
      <c r="B89" t="s" s="11546">
        <v>98</v>
      </c>
      <c r="C89" t="n" s="11547">
        <v>4.800000190734863</v>
      </c>
      <c r="D89" t="n" s="11548">
        <v>537.0</v>
      </c>
      <c r="E89" t="n" s="11549">
        <v>6.0</v>
      </c>
      <c r="F89" t="n" s="11550">
        <v>38.0</v>
      </c>
      <c r="G89" t="n" s="11551">
        <v>0.0</v>
      </c>
      <c r="H89" t="n" s="11552">
        <v>3.0</v>
      </c>
      <c r="I89" t="n" s="11553">
        <v>200.0</v>
      </c>
      <c r="J89" s="11554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1555">
        <v>0.0</v>
      </c>
      <c r="L89" t="n" s="11556">
        <v>3.0</v>
      </c>
      <c r="M89" t="n" s="11557">
        <v>7.0</v>
      </c>
      <c r="N89" t="n" s="11558">
        <v>3.0</v>
      </c>
      <c r="O89" t="n" s="11559">
        <v>1.0</v>
      </c>
      <c r="P89" s="11560">
        <f>IF(HLOOKUP("Shots",A1:CV300,89,FALSE)=0,0,HLOOKUP("SIB",A1:CV300,89,FALSE)/HLOOKUP("Shots",A1:CV300,89,FALSE))</f>
      </c>
      <c r="Q89" t="n" s="11561">
        <v>0.0</v>
      </c>
      <c r="R89" s="11562">
        <f>IF(HLOOKUP("Shots",A1:CV300,89,FALSE)=0,0,HLOOKUP("S6YD",A1:CV300,89,FALSE)/HLOOKUP("Shots",A1:CV300,89,FALSE))</f>
      </c>
      <c r="S89" t="n" s="11563">
        <v>1.0</v>
      </c>
      <c r="T89" s="11564">
        <f>IF(HLOOKUP("Shots",A1:CV300,89,FALSE)=0,0,HLOOKUP("Headers",A1:CV300,89,FALSE)/HLOOKUP("Shots",A1:CV300,89,FALSE))</f>
      </c>
      <c r="U89" t="n" s="11565">
        <v>1.0</v>
      </c>
      <c r="V89" s="11566">
        <f>IF(HLOOKUP("Shots",A1:CV300,89,FALSE)=0,0,HLOOKUP("SOT",A1:CV300,89,FALSE)/HLOOKUP("Shots",A1:CV300,89,FALSE))</f>
      </c>
      <c r="W89" s="11567">
        <f>IF(HLOOKUP("Shots",A1:CV300,89,FALSE)=0,0,HLOOKUP("Gs",A1:CV300,89,FALSE)/HLOOKUP("Shots",A1:CV300,89,FALSE))</f>
      </c>
      <c r="X89" t="n" s="11568">
        <v>0.0</v>
      </c>
      <c r="Y89" t="n" s="11569">
        <v>0.0</v>
      </c>
      <c r="Z89" t="n" s="11570">
        <v>3.0</v>
      </c>
      <c r="AA89" s="11571">
        <f>IF(HLOOKUP("KP",A1:CV300,89,FALSE)=0,0,HLOOKUP("As",A1:CV300,89,FALSE)/HLOOKUP("KP",A1:CV300,89,FALSE))</f>
      </c>
      <c r="AB89" t="n" s="11572">
        <v>21.5</v>
      </c>
      <c r="AC89" t="n" s="11573">
        <v>0.0</v>
      </c>
      <c r="AD89" t="n" s="11574">
        <v>0.0</v>
      </c>
      <c r="AE89" t="n" s="11575">
        <v>0.0</v>
      </c>
      <c r="AF89" t="n" s="11576">
        <v>0.0</v>
      </c>
      <c r="AG89" s="11577">
        <f>IF(HLOOKUP("BC",A1:CV300,89,FALSE)=0,0,HLOOKUP("Gs - BC",A1:CV300,89,FALSE)/HLOOKUP("BC",A1:CV300,89,FALSE))</f>
      </c>
      <c r="AH89" s="11578">
        <f>HLOOKUP("BC",A1:CV300,89,FALSE) - HLOOKUP("BC Miss",A1:CV300,89,FALSE)</f>
      </c>
      <c r="AI89" s="11579">
        <f>IF(HLOOKUP("Gs",A1:CV300,89,FALSE)=0,0,HLOOKUP("Gs - BC",A1:CV300,89,FALSE)/HLOOKUP("Gs",A1:CV300,89,FALSE))</f>
      </c>
      <c r="AJ89" t="n" s="11580">
        <v>0.0</v>
      </c>
      <c r="AK89" t="n" s="11581">
        <v>0.0</v>
      </c>
      <c r="AL89" s="11582">
        <f>HLOOKUP("BC",A1:CV300,89,FALSE) - (HLOOKUP("PK Gs",A1:CV300,89,FALSE) + HLOOKUP("PK Miss",A1:CV300,89,FALSE))</f>
      </c>
      <c r="AM89" s="11583">
        <f>HLOOKUP("BC Miss",A1:CV300,89,FALSE) - HLOOKUP("PK Miss",A1:CV300,89,FALSE)</f>
      </c>
      <c r="AN89" s="11584">
        <f>IF(HLOOKUP("BC - Open",A1:CV300,89,FALSE)=0,0,HLOOKUP("BC - Open Miss",A1:CV300,89,FALSE)/HLOOKUP("BC - Open",A1:CV300,89,FALSE))</f>
      </c>
      <c r="AO89" t="n" s="11585">
        <v>0.0</v>
      </c>
      <c r="AP89" s="11586">
        <f>IF(HLOOKUP("Gs",A1:CV300,89,FALSE)=0,0,HLOOKUP("GIB",A1:CV300,89,FALSE)/HLOOKUP("Gs",A1:CV300,89,FALSE))</f>
      </c>
      <c r="AQ89" t="n" s="11587">
        <v>0.0</v>
      </c>
      <c r="AR89" s="11588">
        <f>IF(HLOOKUP("Gs",A1:CV300,89,FALSE)=0,0,HLOOKUP("Gs - Open",A1:CV300,89,FALSE)/HLOOKUP("Gs",A1:CV300,89,FALSE))</f>
      </c>
      <c r="AS89" t="n" s="11589">
        <v>0.09</v>
      </c>
      <c r="AT89" t="n" s="11590">
        <v>0.54</v>
      </c>
      <c r="AU89" s="11591">
        <f>IF(HLOOKUP("Mins",A1:CV300,89,FALSE)=0,0,HLOOKUP("Pts",A1:CV300,89,FALSE)/HLOOKUP("Mins",A1:CV300,89,FALSE)* 90)</f>
      </c>
      <c r="AV89" s="11592">
        <f>IF(HLOOKUP("Apps",A1:CV300,89,FALSE)=0,0,HLOOKUP("Pts",A1:CV300,89,FALSE)/HLOOKUP("Apps",A1:CV300,89,FALSE)* 1)</f>
      </c>
      <c r="AW89" s="11593">
        <f>IF(HLOOKUP("Mins",A1:CV300,89,FALSE)=0,0,HLOOKUP("Gs",A1:CV300,89,FALSE)/HLOOKUP("Mins",A1:CV300,89,FALSE)* 90)</f>
      </c>
      <c r="AX89" s="11594">
        <f>IF(HLOOKUP("Mins",A1:CV300,89,FALSE)=0,0,HLOOKUP("Bonus",A1:CV300,89,FALSE)/HLOOKUP("Mins",A1:CV300,89,FALSE)* 90)</f>
      </c>
      <c r="AY89" s="11595">
        <f>IF(HLOOKUP("Mins",A1:CV300,89,FALSE)=0,0,HLOOKUP("BPS",A1:CV300,89,FALSE)/HLOOKUP("Mins",A1:CV300,89,FALSE)* 90)</f>
      </c>
      <c r="AZ89" s="11596">
        <f>IF(HLOOKUP("Mins",A1:CV300,89,FALSE)=0,0,HLOOKUP("Base BPS",A1:CV300,89,FALSE)/HLOOKUP("Mins",A1:CV300,89,FALSE)* 90)</f>
      </c>
      <c r="BA89" s="11597">
        <f>IF(HLOOKUP("Mins",A1:CV300,89,FALSE)=0,0,HLOOKUP("PenTchs",A1:CV300,89,FALSE)/HLOOKUP("Mins",A1:CV300,89,FALSE)* 90)</f>
      </c>
      <c r="BB89" s="11598">
        <f>IF(HLOOKUP("Mins",A1:CV300,89,FALSE)=0,0,HLOOKUP("Shots",A1:CV300,89,FALSE)/HLOOKUP("Mins",A1:CV300,89,FALSE)* 90)</f>
      </c>
      <c r="BC89" s="11599">
        <f>IF(HLOOKUP("Mins",A1:CV300,89,FALSE)=0,0,HLOOKUP("SIB",A1:CV300,89,FALSE)/HLOOKUP("Mins",A1:CV300,89,FALSE)* 90)</f>
      </c>
      <c r="BD89" s="11600">
        <f>IF(HLOOKUP("Mins",A1:CV300,89,FALSE)=0,0,HLOOKUP("S6YD",A1:CV300,89,FALSE)/HLOOKUP("Mins",A1:CV300,89,FALSE)* 90)</f>
      </c>
      <c r="BE89" s="11601">
        <f>IF(HLOOKUP("Mins",A1:CV300,89,FALSE)=0,0,HLOOKUP("Headers",A1:CV300,89,FALSE)/HLOOKUP("Mins",A1:CV300,89,FALSE)* 90)</f>
      </c>
      <c r="BF89" s="11602">
        <f>IF(HLOOKUP("Mins",A1:CV300,89,FALSE)=0,0,HLOOKUP("SOT",A1:CV300,89,FALSE)/HLOOKUP("Mins",A1:CV300,89,FALSE)* 90)</f>
      </c>
      <c r="BG89" s="11603">
        <f>IF(HLOOKUP("Mins",A1:CV300,89,FALSE)=0,0,HLOOKUP("As",A1:CV300,89,FALSE)/HLOOKUP("Mins",A1:CV300,89,FALSE)* 90)</f>
      </c>
      <c r="BH89" s="11604">
        <f>IF(HLOOKUP("Mins",A1:CV300,89,FALSE)=0,0,HLOOKUP("FPL As",A1:CV300,89,FALSE)/HLOOKUP("Mins",A1:CV300,89,FALSE)* 90)</f>
      </c>
      <c r="BI89" s="11605">
        <f>IF(HLOOKUP("Mins",A1:CV300,89,FALSE)=0,0,HLOOKUP("BC Created",A1:CV300,89,FALSE)/HLOOKUP("Mins",A1:CV300,89,FALSE)* 90)</f>
      </c>
      <c r="BJ89" s="11606">
        <f>IF(HLOOKUP("Mins",A1:CV300,89,FALSE)=0,0,HLOOKUP("KP",A1:CV300,89,FALSE)/HLOOKUP("Mins",A1:CV300,89,FALSE)* 90)</f>
      </c>
      <c r="BK89" s="11607">
        <f>IF(HLOOKUP("Mins",A1:CV300,89,FALSE)=0,0,HLOOKUP("BC",A1:CV300,89,FALSE)/HLOOKUP("Mins",A1:CV300,89,FALSE)* 90)</f>
      </c>
      <c r="BL89" s="11608">
        <f>IF(HLOOKUP("Mins",A1:CV300,89,FALSE)=0,0,HLOOKUP("BC Miss",A1:CV300,89,FALSE)/HLOOKUP("Mins",A1:CV300,89,FALSE)* 90)</f>
      </c>
      <c r="BM89" s="11609">
        <f>IF(HLOOKUP("Mins",A1:CV300,89,FALSE)=0,0,HLOOKUP("Gs - BC",A1:CV300,89,FALSE)/HLOOKUP("Mins",A1:CV300,89,FALSE)* 90)</f>
      </c>
      <c r="BN89" s="11610">
        <f>IF(HLOOKUP("Mins",A1:CV300,89,FALSE)=0,0,HLOOKUP("GIB",A1:CV300,89,FALSE)/HLOOKUP("Mins",A1:CV300,89,FALSE)* 90)</f>
      </c>
      <c r="BO89" s="11611">
        <f>IF(HLOOKUP("Mins",A1:CV300,89,FALSE)=0,0,HLOOKUP("Gs - Open",A1:CV300,89,FALSE)/HLOOKUP("Mins",A1:CV300,89,FALSE)* 90)</f>
      </c>
      <c r="BP89" s="11612">
        <f>IF(HLOOKUP("Mins",A1:CV300,89,FALSE)=0,0,HLOOKUP("ICT Index",A1:CV300,89,FALSE)/HLOOKUP("Mins",A1:CV300,89,FALSE)* 90)</f>
      </c>
      <c r="BQ89" s="11613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1614">
        <f>0.0825*HLOOKUP("KP/90",A1:CV300,89,FALSE)</f>
      </c>
      <c r="BS89" s="11615">
        <f>6*HLOOKUP("xG/90",A1:CV300,89,FALSE)+3*HLOOKUP("xA/90",A1:CV300,89,FALSE)</f>
      </c>
      <c r="BT89" s="11616">
        <f>HLOOKUP("xPts/90",A1:CV300,89,FALSE)-(6*0.75*(HLOOKUP("PK Gs",A1:CV300,89,FALSE)+HLOOKUP("PK Miss",A1:CV300,89,FALSE))*90/HLOOKUP("Mins",A1:CV300,89,FALSE))</f>
      </c>
      <c r="BU89" s="11617">
        <f>IF(HLOOKUP("Mins",A1:CV300,89,FALSE)=0,0,HLOOKUP("fsXG",A1:CV300,89,FALSE)/HLOOKUP("Mins",A1:CV300,89,FALSE)* 90)</f>
      </c>
      <c r="BV89" s="11618">
        <f>IF(HLOOKUP("Mins",A1:CV300,89,FALSE)=0,0,HLOOKUP("fsXA",A1:CV300,89,FALSE)/HLOOKUP("Mins",A1:CV300,89,FALSE)* 90)</f>
      </c>
      <c r="BW89" s="11619">
        <f>6*HLOOKUP("fsXG/90",A1:CV300,89,FALSE)+3*HLOOKUP("fsXA/90",A1:CV300,89,FALSE)</f>
      </c>
      <c r="BX89" t="n" s="11620">
        <v>0.012802943587303162</v>
      </c>
      <c r="BY89" t="n" s="11621">
        <v>0.03585358336567879</v>
      </c>
      <c r="BZ89" s="11622">
        <f>6*HLOOKUP("uXG/90",A1:CV300,89,FALSE)+3*HLOOKUP("uXA/90",A1:CV300,89,FALSE)</f>
      </c>
    </row>
    <row r="90">
      <c r="A90" t="s" s="11623">
        <v>246</v>
      </c>
      <c r="B90" t="s" s="11624">
        <v>147</v>
      </c>
      <c r="C90" t="n" s="11625">
        <v>4.699999809265137</v>
      </c>
      <c r="D90" t="n" s="11626">
        <v>405.0</v>
      </c>
      <c r="E90" t="n" s="11627">
        <v>5.0</v>
      </c>
      <c r="F90" t="n" s="11628">
        <v>37.0</v>
      </c>
      <c r="G90" t="n" s="11629">
        <v>0.0</v>
      </c>
      <c r="H90" t="n" s="11630">
        <v>1.0</v>
      </c>
      <c r="I90" t="n" s="11631">
        <v>281.0</v>
      </c>
      <c r="J90" s="11632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1633">
        <v>1.0</v>
      </c>
      <c r="L90" t="n" s="11634">
        <v>3.0</v>
      </c>
      <c r="M90" t="n" s="11635">
        <v>5.0</v>
      </c>
      <c r="N90" t="n" s="11636">
        <v>1.0</v>
      </c>
      <c r="O90" t="n" s="11637">
        <v>1.0</v>
      </c>
      <c r="P90" s="11638">
        <f>IF(HLOOKUP("Shots",A1:CV300,90,FALSE)=0,0,HLOOKUP("SIB",A1:CV300,90,FALSE)/HLOOKUP("Shots",A1:CV300,90,FALSE))</f>
      </c>
      <c r="Q90" t="n" s="11639">
        <v>0.0</v>
      </c>
      <c r="R90" s="11640">
        <f>IF(HLOOKUP("Shots",A1:CV300,90,FALSE)=0,0,HLOOKUP("S6YD",A1:CV300,90,FALSE)/HLOOKUP("Shots",A1:CV300,90,FALSE))</f>
      </c>
      <c r="S90" t="n" s="11641">
        <v>0.0</v>
      </c>
      <c r="T90" s="11642">
        <f>IF(HLOOKUP("Shots",A1:CV300,90,FALSE)=0,0,HLOOKUP("Headers",A1:CV300,90,FALSE)/HLOOKUP("Shots",A1:CV300,90,FALSE))</f>
      </c>
      <c r="U90" t="n" s="11643">
        <v>0.0</v>
      </c>
      <c r="V90" s="11644">
        <f>IF(HLOOKUP("Shots",A1:CV300,90,FALSE)=0,0,HLOOKUP("SOT",A1:CV300,90,FALSE)/HLOOKUP("Shots",A1:CV300,90,FALSE))</f>
      </c>
      <c r="W90" s="11645">
        <f>IF(HLOOKUP("Shots",A1:CV300,90,FALSE)=0,0,HLOOKUP("Gs",A1:CV300,90,FALSE)/HLOOKUP("Shots",A1:CV300,90,FALSE))</f>
      </c>
      <c r="X90" t="n" s="11646">
        <v>0.0</v>
      </c>
      <c r="Y90" t="n" s="11647">
        <v>0.0</v>
      </c>
      <c r="Z90" t="n" s="11648">
        <v>1.0</v>
      </c>
      <c r="AA90" s="11649">
        <f>IF(HLOOKUP("KP",A1:CV300,90,FALSE)=0,0,HLOOKUP("As",A1:CV300,90,FALSE)/HLOOKUP("KP",A1:CV300,90,FALSE))</f>
      </c>
      <c r="AB90" t="n" s="11650">
        <v>14.2</v>
      </c>
      <c r="AC90" t="n" s="11651">
        <v>0.0</v>
      </c>
      <c r="AD90" t="n" s="11652">
        <v>0.0</v>
      </c>
      <c r="AE90" t="n" s="11653">
        <v>0.0</v>
      </c>
      <c r="AF90" t="n" s="11654">
        <v>0.0</v>
      </c>
      <c r="AG90" s="11655">
        <f>IF(HLOOKUP("BC",A1:CV300,90,FALSE)=0,0,HLOOKUP("Gs - BC",A1:CV300,90,FALSE)/HLOOKUP("BC",A1:CV300,90,FALSE))</f>
      </c>
      <c r="AH90" s="11656">
        <f>HLOOKUP("BC",A1:CV300,90,FALSE) - HLOOKUP("BC Miss",A1:CV300,90,FALSE)</f>
      </c>
      <c r="AI90" s="11657">
        <f>IF(HLOOKUP("Gs",A1:CV300,90,FALSE)=0,0,HLOOKUP("Gs - BC",A1:CV300,90,FALSE)/HLOOKUP("Gs",A1:CV300,90,FALSE))</f>
      </c>
      <c r="AJ90" t="n" s="11658">
        <v>0.0</v>
      </c>
      <c r="AK90" t="n" s="11659">
        <v>0.0</v>
      </c>
      <c r="AL90" s="11660">
        <f>HLOOKUP("BC",A1:CV300,90,FALSE) - (HLOOKUP("PK Gs",A1:CV300,90,FALSE) + HLOOKUP("PK Miss",A1:CV300,90,FALSE))</f>
      </c>
      <c r="AM90" s="11661">
        <f>HLOOKUP("BC Miss",A1:CV300,90,FALSE) - HLOOKUP("PK Miss",A1:CV300,90,FALSE)</f>
      </c>
      <c r="AN90" s="11662">
        <f>IF(HLOOKUP("BC - Open",A1:CV300,90,FALSE)=0,0,HLOOKUP("BC - Open Miss",A1:CV300,90,FALSE)/HLOOKUP("BC - Open",A1:CV300,90,FALSE))</f>
      </c>
      <c r="AO90" t="n" s="11663">
        <v>0.0</v>
      </c>
      <c r="AP90" s="11664">
        <f>IF(HLOOKUP("Gs",A1:CV300,90,FALSE)=0,0,HLOOKUP("GIB",A1:CV300,90,FALSE)/HLOOKUP("Gs",A1:CV300,90,FALSE))</f>
      </c>
      <c r="AQ90" t="n" s="11665">
        <v>0.0</v>
      </c>
      <c r="AR90" s="11666">
        <f>IF(HLOOKUP("Gs",A1:CV300,90,FALSE)=0,0,HLOOKUP("Gs - Open",A1:CV300,90,FALSE)/HLOOKUP("Gs",A1:CV300,90,FALSE))</f>
      </c>
      <c r="AS90" t="n" s="11667">
        <v>0.19</v>
      </c>
      <c r="AT90" t="n" s="11668">
        <v>0.21</v>
      </c>
      <c r="AU90" s="11669">
        <f>IF(HLOOKUP("Mins",A1:CV300,90,FALSE)=0,0,HLOOKUP("Pts",A1:CV300,90,FALSE)/HLOOKUP("Mins",A1:CV300,90,FALSE)* 90)</f>
      </c>
      <c r="AV90" s="11670">
        <f>IF(HLOOKUP("Apps",A1:CV300,90,FALSE)=0,0,HLOOKUP("Pts",A1:CV300,90,FALSE)/HLOOKUP("Apps",A1:CV300,90,FALSE)* 1)</f>
      </c>
      <c r="AW90" s="11671">
        <f>IF(HLOOKUP("Mins",A1:CV300,90,FALSE)=0,0,HLOOKUP("Gs",A1:CV300,90,FALSE)/HLOOKUP("Mins",A1:CV300,90,FALSE)* 90)</f>
      </c>
      <c r="AX90" s="11672">
        <f>IF(HLOOKUP("Mins",A1:CV300,90,FALSE)=0,0,HLOOKUP("Bonus",A1:CV300,90,FALSE)/HLOOKUP("Mins",A1:CV300,90,FALSE)* 90)</f>
      </c>
      <c r="AY90" s="11673">
        <f>IF(HLOOKUP("Mins",A1:CV300,90,FALSE)=0,0,HLOOKUP("BPS",A1:CV300,90,FALSE)/HLOOKUP("Mins",A1:CV300,90,FALSE)* 90)</f>
      </c>
      <c r="AZ90" s="11674">
        <f>IF(HLOOKUP("Mins",A1:CV300,90,FALSE)=0,0,HLOOKUP("Base BPS",A1:CV300,90,FALSE)/HLOOKUP("Mins",A1:CV300,90,FALSE)* 90)</f>
      </c>
      <c r="BA90" s="11675">
        <f>IF(HLOOKUP("Mins",A1:CV300,90,FALSE)=0,0,HLOOKUP("PenTchs",A1:CV300,90,FALSE)/HLOOKUP("Mins",A1:CV300,90,FALSE)* 90)</f>
      </c>
      <c r="BB90" s="11676">
        <f>IF(HLOOKUP("Mins",A1:CV300,90,FALSE)=0,0,HLOOKUP("Shots",A1:CV300,90,FALSE)/HLOOKUP("Mins",A1:CV300,90,FALSE)* 90)</f>
      </c>
      <c r="BC90" s="11677">
        <f>IF(HLOOKUP("Mins",A1:CV300,90,FALSE)=0,0,HLOOKUP("SIB",A1:CV300,90,FALSE)/HLOOKUP("Mins",A1:CV300,90,FALSE)* 90)</f>
      </c>
      <c r="BD90" s="11678">
        <f>IF(HLOOKUP("Mins",A1:CV300,90,FALSE)=0,0,HLOOKUP("S6YD",A1:CV300,90,FALSE)/HLOOKUP("Mins",A1:CV300,90,FALSE)* 90)</f>
      </c>
      <c r="BE90" s="11679">
        <f>IF(HLOOKUP("Mins",A1:CV300,90,FALSE)=0,0,HLOOKUP("Headers",A1:CV300,90,FALSE)/HLOOKUP("Mins",A1:CV300,90,FALSE)* 90)</f>
      </c>
      <c r="BF90" s="11680">
        <f>IF(HLOOKUP("Mins",A1:CV300,90,FALSE)=0,0,HLOOKUP("SOT",A1:CV300,90,FALSE)/HLOOKUP("Mins",A1:CV300,90,FALSE)* 90)</f>
      </c>
      <c r="BG90" s="11681">
        <f>IF(HLOOKUP("Mins",A1:CV300,90,FALSE)=0,0,HLOOKUP("As",A1:CV300,90,FALSE)/HLOOKUP("Mins",A1:CV300,90,FALSE)* 90)</f>
      </c>
      <c r="BH90" s="11682">
        <f>IF(HLOOKUP("Mins",A1:CV300,90,FALSE)=0,0,HLOOKUP("FPL As",A1:CV300,90,FALSE)/HLOOKUP("Mins",A1:CV300,90,FALSE)* 90)</f>
      </c>
      <c r="BI90" s="11683">
        <f>IF(HLOOKUP("Mins",A1:CV300,90,FALSE)=0,0,HLOOKUP("BC Created",A1:CV300,90,FALSE)/HLOOKUP("Mins",A1:CV300,90,FALSE)* 90)</f>
      </c>
      <c r="BJ90" s="11684">
        <f>IF(HLOOKUP("Mins",A1:CV300,90,FALSE)=0,0,HLOOKUP("KP",A1:CV300,90,FALSE)/HLOOKUP("Mins",A1:CV300,90,FALSE)* 90)</f>
      </c>
      <c r="BK90" s="11685">
        <f>IF(HLOOKUP("Mins",A1:CV300,90,FALSE)=0,0,HLOOKUP("BC",A1:CV300,90,FALSE)/HLOOKUP("Mins",A1:CV300,90,FALSE)* 90)</f>
      </c>
      <c r="BL90" s="11686">
        <f>IF(HLOOKUP("Mins",A1:CV300,90,FALSE)=0,0,HLOOKUP("BC Miss",A1:CV300,90,FALSE)/HLOOKUP("Mins",A1:CV300,90,FALSE)* 90)</f>
      </c>
      <c r="BM90" s="11687">
        <f>IF(HLOOKUP("Mins",A1:CV300,90,FALSE)=0,0,HLOOKUP("Gs - BC",A1:CV300,90,FALSE)/HLOOKUP("Mins",A1:CV300,90,FALSE)* 90)</f>
      </c>
      <c r="BN90" s="11688">
        <f>IF(HLOOKUP("Mins",A1:CV300,90,FALSE)=0,0,HLOOKUP("GIB",A1:CV300,90,FALSE)/HLOOKUP("Mins",A1:CV300,90,FALSE)* 90)</f>
      </c>
      <c r="BO90" s="11689">
        <f>IF(HLOOKUP("Mins",A1:CV300,90,FALSE)=0,0,HLOOKUP("Gs - Open",A1:CV300,90,FALSE)/HLOOKUP("Mins",A1:CV300,90,FALSE)* 90)</f>
      </c>
      <c r="BP90" s="11690">
        <f>IF(HLOOKUP("Mins",A1:CV300,90,FALSE)=0,0,HLOOKUP("ICT Index",A1:CV300,90,FALSE)/HLOOKUP("Mins",A1:CV300,90,FALSE)* 90)</f>
      </c>
      <c r="BQ90" s="11691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1692">
        <f>0.0825*HLOOKUP("KP/90",A1:CV300,90,FALSE)</f>
      </c>
      <c r="BS90" s="11693">
        <f>6*HLOOKUP("xG/90",A1:CV300,90,FALSE)+3*HLOOKUP("xA/90",A1:CV300,90,FALSE)</f>
      </c>
      <c r="BT90" s="11694">
        <f>HLOOKUP("xPts/90",A1:CV300,90,FALSE)-(6*0.75*(HLOOKUP("PK Gs",A1:CV300,90,FALSE)+HLOOKUP("PK Miss",A1:CV300,90,FALSE))*90/HLOOKUP("Mins",A1:CV300,90,FALSE))</f>
      </c>
      <c r="BU90" s="11695">
        <f>IF(HLOOKUP("Mins",A1:CV300,90,FALSE)=0,0,HLOOKUP("fsXG",A1:CV300,90,FALSE)/HLOOKUP("Mins",A1:CV300,90,FALSE)* 90)</f>
      </c>
      <c r="BV90" s="11696">
        <f>IF(HLOOKUP("Mins",A1:CV300,90,FALSE)=0,0,HLOOKUP("fsXA",A1:CV300,90,FALSE)/HLOOKUP("Mins",A1:CV300,90,FALSE)* 90)</f>
      </c>
      <c r="BW90" s="11697">
        <f>6*HLOOKUP("fsXG/90",A1:CV300,90,FALSE)+3*HLOOKUP("fsXA/90",A1:CV300,90,FALSE)</f>
      </c>
      <c r="BX90" t="n" s="11698">
        <v>0.031153831630945206</v>
      </c>
      <c r="BY90" t="n" s="11699">
        <v>0.026892757043242455</v>
      </c>
      <c r="BZ90" s="11700">
        <f>6*HLOOKUP("uXG/90",A1:CV300,90,FALSE)+3*HLOOKUP("uXA/90",A1:CV300,90,FALSE)</f>
      </c>
    </row>
    <row r="91">
      <c r="A91" t="s" s="11701">
        <v>247</v>
      </c>
      <c r="B91" t="s" s="11702">
        <v>96</v>
      </c>
      <c r="C91" t="n" s="11703">
        <v>5.0</v>
      </c>
      <c r="D91" t="n" s="11704">
        <v>540.0</v>
      </c>
      <c r="E91" t="n" s="11705">
        <v>6.0</v>
      </c>
      <c r="F91" t="n" s="11706">
        <v>54.0</v>
      </c>
      <c r="G91" t="n" s="11707">
        <v>0.0</v>
      </c>
      <c r="H91" t="n" s="11708">
        <v>0.0</v>
      </c>
      <c r="I91" t="n" s="11709">
        <v>345.0</v>
      </c>
      <c r="J91" s="11710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1711">
        <v>0.0</v>
      </c>
      <c r="L91" t="n" s="11712">
        <v>7.0</v>
      </c>
      <c r="M91" t="n" s="11713">
        <v>5.0</v>
      </c>
      <c r="N91" t="n" s="11714">
        <v>1.0</v>
      </c>
      <c r="O91" t="n" s="11715">
        <v>1.0</v>
      </c>
      <c r="P91" s="11716">
        <f>IF(HLOOKUP("Shots",A1:CV300,91,FALSE)=0,0,HLOOKUP("SIB",A1:CV300,91,FALSE)/HLOOKUP("Shots",A1:CV300,91,FALSE))</f>
      </c>
      <c r="Q91" t="n" s="11717">
        <v>2.0</v>
      </c>
      <c r="R91" s="11718">
        <f>IF(HLOOKUP("Shots",A1:CV300,91,FALSE)=0,0,HLOOKUP("S6YD",A1:CV300,91,FALSE)/HLOOKUP("Shots",A1:CV300,91,FALSE))</f>
      </c>
      <c r="S91" t="n" s="11719">
        <v>1.0</v>
      </c>
      <c r="T91" s="11720">
        <f>IF(HLOOKUP("Shots",A1:CV300,91,FALSE)=0,0,HLOOKUP("Headers",A1:CV300,91,FALSE)/HLOOKUP("Shots",A1:CV300,91,FALSE))</f>
      </c>
      <c r="U91" t="n" s="11721">
        <v>0.0</v>
      </c>
      <c r="V91" s="11722">
        <f>IF(HLOOKUP("Shots",A1:CV300,91,FALSE)=0,0,HLOOKUP("SOT",A1:CV300,91,FALSE)/HLOOKUP("Shots",A1:CV300,91,FALSE))</f>
      </c>
      <c r="W91" s="11723">
        <f>IF(HLOOKUP("Shots",A1:CV300,91,FALSE)=0,0,HLOOKUP("Gs",A1:CV300,91,FALSE)/HLOOKUP("Shots",A1:CV300,91,FALSE))</f>
      </c>
      <c r="X91" t="n" s="11724">
        <v>0.0</v>
      </c>
      <c r="Y91" t="n" s="11725">
        <v>0.0</v>
      </c>
      <c r="Z91" t="n" s="11726">
        <v>0.0</v>
      </c>
      <c r="AA91" s="11727">
        <f>IF(HLOOKUP("KP",A1:CV300,91,FALSE)=0,0,HLOOKUP("As",A1:CV300,91,FALSE)/HLOOKUP("KP",A1:CV300,91,FALSE))</f>
      </c>
      <c r="AB91" t="n" s="11728">
        <v>19.4</v>
      </c>
      <c r="AC91" t="n" s="11729">
        <v>0.0</v>
      </c>
      <c r="AD91" t="n" s="11730">
        <v>0.0</v>
      </c>
      <c r="AE91" t="n" s="11731">
        <v>1.0</v>
      </c>
      <c r="AF91" t="n" s="11732">
        <v>1.0</v>
      </c>
      <c r="AG91" s="11733">
        <f>IF(HLOOKUP("BC",A1:CV300,91,FALSE)=0,0,HLOOKUP("Gs - BC",A1:CV300,91,FALSE)/HLOOKUP("BC",A1:CV300,91,FALSE))</f>
      </c>
      <c r="AH91" s="11734">
        <f>HLOOKUP("BC",A1:CV300,91,FALSE) - HLOOKUP("BC Miss",A1:CV300,91,FALSE)</f>
      </c>
      <c r="AI91" s="11735">
        <f>IF(HLOOKUP("Gs",A1:CV300,91,FALSE)=0,0,HLOOKUP("Gs - BC",A1:CV300,91,FALSE)/HLOOKUP("Gs",A1:CV300,91,FALSE))</f>
      </c>
      <c r="AJ91" t="n" s="11736">
        <v>0.0</v>
      </c>
      <c r="AK91" t="n" s="11737">
        <v>0.0</v>
      </c>
      <c r="AL91" s="11738">
        <f>HLOOKUP("BC",A1:CV300,91,FALSE) - (HLOOKUP("PK Gs",A1:CV300,91,FALSE) + HLOOKUP("PK Miss",A1:CV300,91,FALSE))</f>
      </c>
      <c r="AM91" s="11739">
        <f>HLOOKUP("BC Miss",A1:CV300,91,FALSE) - HLOOKUP("PK Miss",A1:CV300,91,FALSE)</f>
      </c>
      <c r="AN91" s="11740">
        <f>IF(HLOOKUP("BC - Open",A1:CV300,91,FALSE)=0,0,HLOOKUP("BC - Open Miss",A1:CV300,91,FALSE)/HLOOKUP("BC - Open",A1:CV300,91,FALSE))</f>
      </c>
      <c r="AO91" t="n" s="11741">
        <v>0.0</v>
      </c>
      <c r="AP91" s="11742">
        <f>IF(HLOOKUP("Gs",A1:CV300,91,FALSE)=0,0,HLOOKUP("GIB",A1:CV300,91,FALSE)/HLOOKUP("Gs",A1:CV300,91,FALSE))</f>
      </c>
      <c r="AQ91" t="n" s="11743">
        <v>0.0</v>
      </c>
      <c r="AR91" s="11744">
        <f>IF(HLOOKUP("Gs",A1:CV300,91,FALSE)=0,0,HLOOKUP("Gs - Open",A1:CV300,91,FALSE)/HLOOKUP("Gs",A1:CV300,91,FALSE))</f>
      </c>
      <c r="AS91" t="n" s="11745">
        <v>0.22</v>
      </c>
      <c r="AT91" t="n" s="11746">
        <v>0.06</v>
      </c>
      <c r="AU91" s="11747">
        <f>IF(HLOOKUP("Mins",A1:CV300,91,FALSE)=0,0,HLOOKUP("Pts",A1:CV300,91,FALSE)/HLOOKUP("Mins",A1:CV300,91,FALSE)* 90)</f>
      </c>
      <c r="AV91" s="11748">
        <f>IF(HLOOKUP("Apps",A1:CV300,91,FALSE)=0,0,HLOOKUP("Pts",A1:CV300,91,FALSE)/HLOOKUP("Apps",A1:CV300,91,FALSE)* 1)</f>
      </c>
      <c r="AW91" s="11749">
        <f>IF(HLOOKUP("Mins",A1:CV300,91,FALSE)=0,0,HLOOKUP("Gs",A1:CV300,91,FALSE)/HLOOKUP("Mins",A1:CV300,91,FALSE)* 90)</f>
      </c>
      <c r="AX91" s="11750">
        <f>IF(HLOOKUP("Mins",A1:CV300,91,FALSE)=0,0,HLOOKUP("Bonus",A1:CV300,91,FALSE)/HLOOKUP("Mins",A1:CV300,91,FALSE)* 90)</f>
      </c>
      <c r="AY91" s="11751">
        <f>IF(HLOOKUP("Mins",A1:CV300,91,FALSE)=0,0,HLOOKUP("BPS",A1:CV300,91,FALSE)/HLOOKUP("Mins",A1:CV300,91,FALSE)* 90)</f>
      </c>
      <c r="AZ91" s="11752">
        <f>IF(HLOOKUP("Mins",A1:CV300,91,FALSE)=0,0,HLOOKUP("Base BPS",A1:CV300,91,FALSE)/HLOOKUP("Mins",A1:CV300,91,FALSE)* 90)</f>
      </c>
      <c r="BA91" s="11753">
        <f>IF(HLOOKUP("Mins",A1:CV300,91,FALSE)=0,0,HLOOKUP("PenTchs",A1:CV300,91,FALSE)/HLOOKUP("Mins",A1:CV300,91,FALSE)* 90)</f>
      </c>
      <c r="BB91" s="11754">
        <f>IF(HLOOKUP("Mins",A1:CV300,91,FALSE)=0,0,HLOOKUP("Shots",A1:CV300,91,FALSE)/HLOOKUP("Mins",A1:CV300,91,FALSE)* 90)</f>
      </c>
      <c r="BC91" s="11755">
        <f>IF(HLOOKUP("Mins",A1:CV300,91,FALSE)=0,0,HLOOKUP("SIB",A1:CV300,91,FALSE)/HLOOKUP("Mins",A1:CV300,91,FALSE)* 90)</f>
      </c>
      <c r="BD91" s="11756">
        <f>IF(HLOOKUP("Mins",A1:CV300,91,FALSE)=0,0,HLOOKUP("S6YD",A1:CV300,91,FALSE)/HLOOKUP("Mins",A1:CV300,91,FALSE)* 90)</f>
      </c>
      <c r="BE91" s="11757">
        <f>IF(HLOOKUP("Mins",A1:CV300,91,FALSE)=0,0,HLOOKUP("Headers",A1:CV300,91,FALSE)/HLOOKUP("Mins",A1:CV300,91,FALSE)* 90)</f>
      </c>
      <c r="BF91" s="11758">
        <f>IF(HLOOKUP("Mins",A1:CV300,91,FALSE)=0,0,HLOOKUP("SOT",A1:CV300,91,FALSE)/HLOOKUP("Mins",A1:CV300,91,FALSE)* 90)</f>
      </c>
      <c r="BG91" s="11759">
        <f>IF(HLOOKUP("Mins",A1:CV300,91,FALSE)=0,0,HLOOKUP("As",A1:CV300,91,FALSE)/HLOOKUP("Mins",A1:CV300,91,FALSE)* 90)</f>
      </c>
      <c r="BH91" s="11760">
        <f>IF(HLOOKUP("Mins",A1:CV300,91,FALSE)=0,0,HLOOKUP("FPL As",A1:CV300,91,FALSE)/HLOOKUP("Mins",A1:CV300,91,FALSE)* 90)</f>
      </c>
      <c r="BI91" s="11761">
        <f>IF(HLOOKUP("Mins",A1:CV300,91,FALSE)=0,0,HLOOKUP("BC Created",A1:CV300,91,FALSE)/HLOOKUP("Mins",A1:CV300,91,FALSE)* 90)</f>
      </c>
      <c r="BJ91" s="11762">
        <f>IF(HLOOKUP("Mins",A1:CV300,91,FALSE)=0,0,HLOOKUP("KP",A1:CV300,91,FALSE)/HLOOKUP("Mins",A1:CV300,91,FALSE)* 90)</f>
      </c>
      <c r="BK91" s="11763">
        <f>IF(HLOOKUP("Mins",A1:CV300,91,FALSE)=0,0,HLOOKUP("BC",A1:CV300,91,FALSE)/HLOOKUP("Mins",A1:CV300,91,FALSE)* 90)</f>
      </c>
      <c r="BL91" s="11764">
        <f>IF(HLOOKUP("Mins",A1:CV300,91,FALSE)=0,0,HLOOKUP("BC Miss",A1:CV300,91,FALSE)/HLOOKUP("Mins",A1:CV300,91,FALSE)* 90)</f>
      </c>
      <c r="BM91" s="11765">
        <f>IF(HLOOKUP("Mins",A1:CV300,91,FALSE)=0,0,HLOOKUP("Gs - BC",A1:CV300,91,FALSE)/HLOOKUP("Mins",A1:CV300,91,FALSE)* 90)</f>
      </c>
      <c r="BN91" s="11766">
        <f>IF(HLOOKUP("Mins",A1:CV300,91,FALSE)=0,0,HLOOKUP("GIB",A1:CV300,91,FALSE)/HLOOKUP("Mins",A1:CV300,91,FALSE)* 90)</f>
      </c>
      <c r="BO91" s="11767">
        <f>IF(HLOOKUP("Mins",A1:CV300,91,FALSE)=0,0,HLOOKUP("Gs - Open",A1:CV300,91,FALSE)/HLOOKUP("Mins",A1:CV300,91,FALSE)* 90)</f>
      </c>
      <c r="BP91" s="11768">
        <f>IF(HLOOKUP("Mins",A1:CV300,91,FALSE)=0,0,HLOOKUP("ICT Index",A1:CV300,91,FALSE)/HLOOKUP("Mins",A1:CV300,91,FALSE)* 90)</f>
      </c>
      <c r="BQ91" s="11769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1770">
        <f>0.0825*HLOOKUP("KP/90",A1:CV300,91,FALSE)</f>
      </c>
      <c r="BS91" s="11771">
        <f>6*HLOOKUP("xG/90",A1:CV300,91,FALSE)+3*HLOOKUP("xA/90",A1:CV300,91,FALSE)</f>
      </c>
      <c r="BT91" s="11772">
        <f>HLOOKUP("xPts/90",A1:CV300,91,FALSE)-(6*0.75*(HLOOKUP("PK Gs",A1:CV300,91,FALSE)+HLOOKUP("PK Miss",A1:CV300,91,FALSE))*90/HLOOKUP("Mins",A1:CV300,91,FALSE))</f>
      </c>
      <c r="BU91" s="11773">
        <f>IF(HLOOKUP("Mins",A1:CV300,91,FALSE)=0,0,HLOOKUP("fsXG",A1:CV300,91,FALSE)/HLOOKUP("Mins",A1:CV300,91,FALSE)* 90)</f>
      </c>
      <c r="BV91" s="11774">
        <f>IF(HLOOKUP("Mins",A1:CV300,91,FALSE)=0,0,HLOOKUP("fsXA",A1:CV300,91,FALSE)/HLOOKUP("Mins",A1:CV300,91,FALSE)* 90)</f>
      </c>
      <c r="BW91" s="11775">
        <f>6*HLOOKUP("fsXG/90",A1:CV300,91,FALSE)+3*HLOOKUP("fsXA/90",A1:CV300,91,FALSE)</f>
      </c>
      <c r="BX91" t="n" s="11776">
        <v>0.010151867754757404</v>
      </c>
      <c r="BY91" t="n" s="11777">
        <v>0.0</v>
      </c>
      <c r="BZ91" s="11778">
        <f>6*HLOOKUP("uXG/90",A1:CV300,91,FALSE)+3*HLOOKUP("uXA/90",A1:CV300,91,FALSE)</f>
      </c>
    </row>
    <row r="92">
      <c r="A92" t="s" s="11779">
        <v>248</v>
      </c>
      <c r="B92" t="s" s="11780">
        <v>98</v>
      </c>
      <c r="C92" t="n" s="11781">
        <v>4.400000095367432</v>
      </c>
      <c r="D92" t="n" s="11782">
        <v>540.0</v>
      </c>
      <c r="E92" t="n" s="11783">
        <v>6.0</v>
      </c>
      <c r="F92" t="n" s="11784">
        <v>47.0</v>
      </c>
      <c r="G92" t="n" s="11785">
        <v>0.0</v>
      </c>
      <c r="H92" t="n" s="11786">
        <v>3.0</v>
      </c>
      <c r="I92" t="n" s="11787">
        <v>324.0</v>
      </c>
      <c r="J92" s="11788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1789">
        <v>0.0</v>
      </c>
      <c r="L92" t="n" s="11790">
        <v>4.0</v>
      </c>
      <c r="M92" t="n" s="11791">
        <v>2.0</v>
      </c>
      <c r="N92" t="n" s="11792">
        <v>2.0</v>
      </c>
      <c r="O92" t="n" s="11793">
        <v>2.0</v>
      </c>
      <c r="P92" s="11794">
        <f>IF(HLOOKUP("Shots",A1:CV300,92,FALSE)=0,0,HLOOKUP("SIB",A1:CV300,92,FALSE)/HLOOKUP("Shots",A1:CV300,92,FALSE))</f>
      </c>
      <c r="Q92" t="n" s="11795">
        <v>1.0</v>
      </c>
      <c r="R92" s="11796">
        <f>IF(HLOOKUP("Shots",A1:CV300,92,FALSE)=0,0,HLOOKUP("S6YD",A1:CV300,92,FALSE)/HLOOKUP("Shots",A1:CV300,92,FALSE))</f>
      </c>
      <c r="S92" t="n" s="11797">
        <v>1.0</v>
      </c>
      <c r="T92" s="11798">
        <f>IF(HLOOKUP("Shots",A1:CV300,92,FALSE)=0,0,HLOOKUP("Headers",A1:CV300,92,FALSE)/HLOOKUP("Shots",A1:CV300,92,FALSE))</f>
      </c>
      <c r="U92" t="n" s="11799">
        <v>0.0</v>
      </c>
      <c r="V92" s="11800">
        <f>IF(HLOOKUP("Shots",A1:CV300,92,FALSE)=0,0,HLOOKUP("SOT",A1:CV300,92,FALSE)/HLOOKUP("Shots",A1:CV300,92,FALSE))</f>
      </c>
      <c r="W92" s="11801">
        <f>IF(HLOOKUP("Shots",A1:CV300,92,FALSE)=0,0,HLOOKUP("Gs",A1:CV300,92,FALSE)/HLOOKUP("Shots",A1:CV300,92,FALSE))</f>
      </c>
      <c r="X92" t="n" s="11802">
        <v>0.0</v>
      </c>
      <c r="Y92" t="n" s="11803">
        <v>0.0</v>
      </c>
      <c r="Z92" t="n" s="11804">
        <v>0.0</v>
      </c>
      <c r="AA92" s="11805">
        <f>IF(HLOOKUP("KP",A1:CV300,92,FALSE)=0,0,HLOOKUP("As",A1:CV300,92,FALSE)/HLOOKUP("KP",A1:CV300,92,FALSE))</f>
      </c>
      <c r="AB92" t="n" s="11806">
        <v>11.5</v>
      </c>
      <c r="AC92" t="n" s="11807">
        <v>0.0</v>
      </c>
      <c r="AD92" t="n" s="11808">
        <v>0.0</v>
      </c>
      <c r="AE92" t="n" s="11809">
        <v>1.0</v>
      </c>
      <c r="AF92" t="n" s="11810">
        <v>1.0</v>
      </c>
      <c r="AG92" s="11811">
        <f>IF(HLOOKUP("BC",A1:CV300,92,FALSE)=0,0,HLOOKUP("Gs - BC",A1:CV300,92,FALSE)/HLOOKUP("BC",A1:CV300,92,FALSE))</f>
      </c>
      <c r="AH92" s="11812">
        <f>HLOOKUP("BC",A1:CV300,92,FALSE) - HLOOKUP("BC Miss",A1:CV300,92,FALSE)</f>
      </c>
      <c r="AI92" s="11813">
        <f>IF(HLOOKUP("Gs",A1:CV300,92,FALSE)=0,0,HLOOKUP("Gs - BC",A1:CV300,92,FALSE)/HLOOKUP("Gs",A1:CV300,92,FALSE))</f>
      </c>
      <c r="AJ92" t="n" s="11814">
        <v>0.0</v>
      </c>
      <c r="AK92" t="n" s="11815">
        <v>0.0</v>
      </c>
      <c r="AL92" s="11816">
        <f>HLOOKUP("BC",A1:CV300,92,FALSE) - (HLOOKUP("PK Gs",A1:CV300,92,FALSE) + HLOOKUP("PK Miss",A1:CV300,92,FALSE))</f>
      </c>
      <c r="AM92" s="11817">
        <f>HLOOKUP("BC Miss",A1:CV300,92,FALSE) - HLOOKUP("PK Miss",A1:CV300,92,FALSE)</f>
      </c>
      <c r="AN92" s="11818">
        <f>IF(HLOOKUP("BC - Open",A1:CV300,92,FALSE)=0,0,HLOOKUP("BC - Open Miss",A1:CV300,92,FALSE)/HLOOKUP("BC - Open",A1:CV300,92,FALSE))</f>
      </c>
      <c r="AO92" t="n" s="11819">
        <v>0.0</v>
      </c>
      <c r="AP92" s="11820">
        <f>IF(HLOOKUP("Gs",A1:CV300,92,FALSE)=0,0,HLOOKUP("GIB",A1:CV300,92,FALSE)/HLOOKUP("Gs",A1:CV300,92,FALSE))</f>
      </c>
      <c r="AQ92" t="n" s="11821">
        <v>0.0</v>
      </c>
      <c r="AR92" s="11822">
        <f>IF(HLOOKUP("Gs",A1:CV300,92,FALSE)=0,0,HLOOKUP("Gs - Open",A1:CV300,92,FALSE)/HLOOKUP("Gs",A1:CV300,92,FALSE))</f>
      </c>
      <c r="AS92" t="n" s="11823">
        <v>0.57</v>
      </c>
      <c r="AT92" t="n" s="11824">
        <v>0.01</v>
      </c>
      <c r="AU92" s="11825">
        <f>IF(HLOOKUP("Mins",A1:CV300,92,FALSE)=0,0,HLOOKUP("Pts",A1:CV300,92,FALSE)/HLOOKUP("Mins",A1:CV300,92,FALSE)* 90)</f>
      </c>
      <c r="AV92" s="11826">
        <f>IF(HLOOKUP("Apps",A1:CV300,92,FALSE)=0,0,HLOOKUP("Pts",A1:CV300,92,FALSE)/HLOOKUP("Apps",A1:CV300,92,FALSE)* 1)</f>
      </c>
      <c r="AW92" s="11827">
        <f>IF(HLOOKUP("Mins",A1:CV300,92,FALSE)=0,0,HLOOKUP("Gs",A1:CV300,92,FALSE)/HLOOKUP("Mins",A1:CV300,92,FALSE)* 90)</f>
      </c>
      <c r="AX92" s="11828">
        <f>IF(HLOOKUP("Mins",A1:CV300,92,FALSE)=0,0,HLOOKUP("Bonus",A1:CV300,92,FALSE)/HLOOKUP("Mins",A1:CV300,92,FALSE)* 90)</f>
      </c>
      <c r="AY92" s="11829">
        <f>IF(HLOOKUP("Mins",A1:CV300,92,FALSE)=0,0,HLOOKUP("BPS",A1:CV300,92,FALSE)/HLOOKUP("Mins",A1:CV300,92,FALSE)* 90)</f>
      </c>
      <c r="AZ92" s="11830">
        <f>IF(HLOOKUP("Mins",A1:CV300,92,FALSE)=0,0,HLOOKUP("Base BPS",A1:CV300,92,FALSE)/HLOOKUP("Mins",A1:CV300,92,FALSE)* 90)</f>
      </c>
      <c r="BA92" s="11831">
        <f>IF(HLOOKUP("Mins",A1:CV300,92,FALSE)=0,0,HLOOKUP("PenTchs",A1:CV300,92,FALSE)/HLOOKUP("Mins",A1:CV300,92,FALSE)* 90)</f>
      </c>
      <c r="BB92" s="11832">
        <f>IF(HLOOKUP("Mins",A1:CV300,92,FALSE)=0,0,HLOOKUP("Shots",A1:CV300,92,FALSE)/HLOOKUP("Mins",A1:CV300,92,FALSE)* 90)</f>
      </c>
      <c r="BC92" s="11833">
        <f>IF(HLOOKUP("Mins",A1:CV300,92,FALSE)=0,0,HLOOKUP("SIB",A1:CV300,92,FALSE)/HLOOKUP("Mins",A1:CV300,92,FALSE)* 90)</f>
      </c>
      <c r="BD92" s="11834">
        <f>IF(HLOOKUP("Mins",A1:CV300,92,FALSE)=0,0,HLOOKUP("S6YD",A1:CV300,92,FALSE)/HLOOKUP("Mins",A1:CV300,92,FALSE)* 90)</f>
      </c>
      <c r="BE92" s="11835">
        <f>IF(HLOOKUP("Mins",A1:CV300,92,FALSE)=0,0,HLOOKUP("Headers",A1:CV300,92,FALSE)/HLOOKUP("Mins",A1:CV300,92,FALSE)* 90)</f>
      </c>
      <c r="BF92" s="11836">
        <f>IF(HLOOKUP("Mins",A1:CV300,92,FALSE)=0,0,HLOOKUP("SOT",A1:CV300,92,FALSE)/HLOOKUP("Mins",A1:CV300,92,FALSE)* 90)</f>
      </c>
      <c r="BG92" s="11837">
        <f>IF(HLOOKUP("Mins",A1:CV300,92,FALSE)=0,0,HLOOKUP("As",A1:CV300,92,FALSE)/HLOOKUP("Mins",A1:CV300,92,FALSE)* 90)</f>
      </c>
      <c r="BH92" s="11838">
        <f>IF(HLOOKUP("Mins",A1:CV300,92,FALSE)=0,0,HLOOKUP("FPL As",A1:CV300,92,FALSE)/HLOOKUP("Mins",A1:CV300,92,FALSE)* 90)</f>
      </c>
      <c r="BI92" s="11839">
        <f>IF(HLOOKUP("Mins",A1:CV300,92,FALSE)=0,0,HLOOKUP("BC Created",A1:CV300,92,FALSE)/HLOOKUP("Mins",A1:CV300,92,FALSE)* 90)</f>
      </c>
      <c r="BJ92" s="11840">
        <f>IF(HLOOKUP("Mins",A1:CV300,92,FALSE)=0,0,HLOOKUP("KP",A1:CV300,92,FALSE)/HLOOKUP("Mins",A1:CV300,92,FALSE)* 90)</f>
      </c>
      <c r="BK92" s="11841">
        <f>IF(HLOOKUP("Mins",A1:CV300,92,FALSE)=0,0,HLOOKUP("BC",A1:CV300,92,FALSE)/HLOOKUP("Mins",A1:CV300,92,FALSE)* 90)</f>
      </c>
      <c r="BL92" s="11842">
        <f>IF(HLOOKUP("Mins",A1:CV300,92,FALSE)=0,0,HLOOKUP("BC Miss",A1:CV300,92,FALSE)/HLOOKUP("Mins",A1:CV300,92,FALSE)* 90)</f>
      </c>
      <c r="BM92" s="11843">
        <f>IF(HLOOKUP("Mins",A1:CV300,92,FALSE)=0,0,HLOOKUP("Gs - BC",A1:CV300,92,FALSE)/HLOOKUP("Mins",A1:CV300,92,FALSE)* 90)</f>
      </c>
      <c r="BN92" s="11844">
        <f>IF(HLOOKUP("Mins",A1:CV300,92,FALSE)=0,0,HLOOKUP("GIB",A1:CV300,92,FALSE)/HLOOKUP("Mins",A1:CV300,92,FALSE)* 90)</f>
      </c>
      <c r="BO92" s="11845">
        <f>IF(HLOOKUP("Mins",A1:CV300,92,FALSE)=0,0,HLOOKUP("Gs - Open",A1:CV300,92,FALSE)/HLOOKUP("Mins",A1:CV300,92,FALSE)* 90)</f>
      </c>
      <c r="BP92" s="11846">
        <f>IF(HLOOKUP("Mins",A1:CV300,92,FALSE)=0,0,HLOOKUP("ICT Index",A1:CV300,92,FALSE)/HLOOKUP("Mins",A1:CV300,92,FALSE)* 90)</f>
      </c>
      <c r="BQ92" s="11847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1848">
        <f>0.0825*HLOOKUP("KP/90",A1:CV300,92,FALSE)</f>
      </c>
      <c r="BS92" s="11849">
        <f>6*HLOOKUP("xG/90",A1:CV300,92,FALSE)+3*HLOOKUP("xA/90",A1:CV300,92,FALSE)</f>
      </c>
      <c r="BT92" s="11850">
        <f>HLOOKUP("xPts/90",A1:CV300,92,FALSE)-(6*0.75*(HLOOKUP("PK Gs",A1:CV300,92,FALSE)+HLOOKUP("PK Miss",A1:CV300,92,FALSE))*90/HLOOKUP("Mins",A1:CV300,92,FALSE))</f>
      </c>
      <c r="BU92" s="11851">
        <f>IF(HLOOKUP("Mins",A1:CV300,92,FALSE)=0,0,HLOOKUP("fsXG",A1:CV300,92,FALSE)/HLOOKUP("Mins",A1:CV300,92,FALSE)* 90)</f>
      </c>
      <c r="BV92" s="11852">
        <f>IF(HLOOKUP("Mins",A1:CV300,92,FALSE)=0,0,HLOOKUP("fsXA",A1:CV300,92,FALSE)/HLOOKUP("Mins",A1:CV300,92,FALSE)* 90)</f>
      </c>
      <c r="BW92" s="11853">
        <f>6*HLOOKUP("fsXG/90",A1:CV300,92,FALSE)+3*HLOOKUP("fsXA/90",A1:CV300,92,FALSE)</f>
      </c>
      <c r="BX92" t="n" s="11854">
        <v>0.11335741728544235</v>
      </c>
      <c r="BY92" t="n" s="11855">
        <v>0.0</v>
      </c>
      <c r="BZ92" s="11856">
        <f>6*HLOOKUP("uXG/90",A1:CV300,92,FALSE)+3*HLOOKUP("uXA/90",A1:CV300,92,FALSE)</f>
      </c>
    </row>
    <row r="93">
      <c r="A93" t="s" s="11857">
        <v>249</v>
      </c>
      <c r="B93" t="s" s="11858">
        <v>109</v>
      </c>
      <c r="C93" t="n" s="11859">
        <v>4.800000190734863</v>
      </c>
      <c r="D93" t="n" s="11860">
        <v>450.0</v>
      </c>
      <c r="E93" t="n" s="11861">
        <v>5.0</v>
      </c>
      <c r="F93" t="n" s="11862">
        <v>76.0</v>
      </c>
      <c r="G93" t="n" s="11863">
        <v>0.0</v>
      </c>
      <c r="H93" t="n" s="11864">
        <v>11.0</v>
      </c>
      <c r="I93" t="n" s="11865">
        <v>398.0</v>
      </c>
      <c r="J93" s="11866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1867">
        <v>0.0</v>
      </c>
      <c r="L93" t="n" s="11868">
        <v>5.0</v>
      </c>
      <c r="M93" t="n" s="11869">
        <v>9.0</v>
      </c>
      <c r="N93" t="n" s="11870">
        <v>7.0</v>
      </c>
      <c r="O93" t="n" s="11871">
        <v>5.0</v>
      </c>
      <c r="P93" s="11872">
        <f>IF(HLOOKUP("Shots",A1:CV300,93,FALSE)=0,0,HLOOKUP("SIB",A1:CV300,93,FALSE)/HLOOKUP("Shots",A1:CV300,93,FALSE))</f>
      </c>
      <c r="Q93" t="n" s="11873">
        <v>2.0</v>
      </c>
      <c r="R93" s="11874">
        <f>IF(HLOOKUP("Shots",A1:CV300,93,FALSE)=0,0,HLOOKUP("S6YD",A1:CV300,93,FALSE)/HLOOKUP("Shots",A1:CV300,93,FALSE))</f>
      </c>
      <c r="S93" t="n" s="11875">
        <v>4.0</v>
      </c>
      <c r="T93" s="11876">
        <f>IF(HLOOKUP("Shots",A1:CV300,93,FALSE)=0,0,HLOOKUP("Headers",A1:CV300,93,FALSE)/HLOOKUP("Shots",A1:CV300,93,FALSE))</f>
      </c>
      <c r="U93" t="n" s="11877">
        <v>3.0</v>
      </c>
      <c r="V93" s="11878">
        <f>IF(HLOOKUP("Shots",A1:CV300,93,FALSE)=0,0,HLOOKUP("SOT",A1:CV300,93,FALSE)/HLOOKUP("Shots",A1:CV300,93,FALSE))</f>
      </c>
      <c r="W93" s="11879">
        <f>IF(HLOOKUP("Shots",A1:CV300,93,FALSE)=0,0,HLOOKUP("Gs",A1:CV300,93,FALSE)/HLOOKUP("Shots",A1:CV300,93,FALSE))</f>
      </c>
      <c r="X93" t="n" s="11880">
        <v>1.0</v>
      </c>
      <c r="Y93" t="n" s="11881">
        <v>3.0</v>
      </c>
      <c r="Z93" t="n" s="11882">
        <v>2.0</v>
      </c>
      <c r="AA93" s="11883">
        <f>IF(HLOOKUP("KP",A1:CV300,93,FALSE)=0,0,HLOOKUP("As",A1:CV300,93,FALSE)/HLOOKUP("KP",A1:CV300,93,FALSE))</f>
      </c>
      <c r="AB93" t="n" s="11884">
        <v>21.4</v>
      </c>
      <c r="AC93" t="n" s="11885">
        <v>25.0</v>
      </c>
      <c r="AD93" t="n" s="11886">
        <v>0.0</v>
      </c>
      <c r="AE93" t="n" s="11887">
        <v>2.0</v>
      </c>
      <c r="AF93" t="n" s="11888">
        <v>2.0</v>
      </c>
      <c r="AG93" s="11889">
        <f>IF(HLOOKUP("BC",A1:CV300,93,FALSE)=0,0,HLOOKUP("Gs - BC",A1:CV300,93,FALSE)/HLOOKUP("BC",A1:CV300,93,FALSE))</f>
      </c>
      <c r="AH93" s="11890">
        <f>HLOOKUP("BC",A1:CV300,93,FALSE) - HLOOKUP("BC Miss",A1:CV300,93,FALSE)</f>
      </c>
      <c r="AI93" s="11891">
        <f>IF(HLOOKUP("Gs",A1:CV300,93,FALSE)=0,0,HLOOKUP("Gs - BC",A1:CV300,93,FALSE)/HLOOKUP("Gs",A1:CV300,93,FALSE))</f>
      </c>
      <c r="AJ93" t="n" s="11892">
        <v>0.0</v>
      </c>
      <c r="AK93" t="n" s="11893">
        <v>0.0</v>
      </c>
      <c r="AL93" s="11894">
        <f>HLOOKUP("BC",A1:CV300,93,FALSE) - (HLOOKUP("PK Gs",A1:CV300,93,FALSE) + HLOOKUP("PK Miss",A1:CV300,93,FALSE))</f>
      </c>
      <c r="AM93" s="11895">
        <f>HLOOKUP("BC Miss",A1:CV300,93,FALSE) - HLOOKUP("PK Miss",A1:CV300,93,FALSE)</f>
      </c>
      <c r="AN93" s="11896">
        <f>IF(HLOOKUP("BC - Open",A1:CV300,93,FALSE)=0,0,HLOOKUP("BC - Open Miss",A1:CV300,93,FALSE)/HLOOKUP("BC - Open",A1:CV300,93,FALSE))</f>
      </c>
      <c r="AO93" t="n" s="11897">
        <v>0.0</v>
      </c>
      <c r="AP93" s="11898">
        <f>IF(HLOOKUP("Gs",A1:CV300,93,FALSE)=0,0,HLOOKUP("GIB",A1:CV300,93,FALSE)/HLOOKUP("Gs",A1:CV300,93,FALSE))</f>
      </c>
      <c r="AQ93" t="n" s="11899">
        <v>0.0</v>
      </c>
      <c r="AR93" s="11900">
        <f>IF(HLOOKUP("Gs",A1:CV300,93,FALSE)=0,0,HLOOKUP("Gs - Open",A1:CV300,93,FALSE)/HLOOKUP("Gs",A1:CV300,93,FALSE))</f>
      </c>
      <c r="AS93" t="n" s="11901">
        <v>0.99</v>
      </c>
      <c r="AT93" t="n" s="11902">
        <v>0.09</v>
      </c>
      <c r="AU93" s="11903">
        <f>IF(HLOOKUP("Mins",A1:CV300,93,FALSE)=0,0,HLOOKUP("Pts",A1:CV300,93,FALSE)/HLOOKUP("Mins",A1:CV300,93,FALSE)* 90)</f>
      </c>
      <c r="AV93" s="11904">
        <f>IF(HLOOKUP("Apps",A1:CV300,93,FALSE)=0,0,HLOOKUP("Pts",A1:CV300,93,FALSE)/HLOOKUP("Apps",A1:CV300,93,FALSE)* 1)</f>
      </c>
      <c r="AW93" s="11905">
        <f>IF(HLOOKUP("Mins",A1:CV300,93,FALSE)=0,0,HLOOKUP("Gs",A1:CV300,93,FALSE)/HLOOKUP("Mins",A1:CV300,93,FALSE)* 90)</f>
      </c>
      <c r="AX93" s="11906">
        <f>IF(HLOOKUP("Mins",A1:CV300,93,FALSE)=0,0,HLOOKUP("Bonus",A1:CV300,93,FALSE)/HLOOKUP("Mins",A1:CV300,93,FALSE)* 90)</f>
      </c>
      <c r="AY93" s="11907">
        <f>IF(HLOOKUP("Mins",A1:CV300,93,FALSE)=0,0,HLOOKUP("BPS",A1:CV300,93,FALSE)/HLOOKUP("Mins",A1:CV300,93,FALSE)* 90)</f>
      </c>
      <c r="AZ93" s="11908">
        <f>IF(HLOOKUP("Mins",A1:CV300,93,FALSE)=0,0,HLOOKUP("Base BPS",A1:CV300,93,FALSE)/HLOOKUP("Mins",A1:CV300,93,FALSE)* 90)</f>
      </c>
      <c r="BA93" s="11909">
        <f>IF(HLOOKUP("Mins",A1:CV300,93,FALSE)=0,0,HLOOKUP("PenTchs",A1:CV300,93,FALSE)/HLOOKUP("Mins",A1:CV300,93,FALSE)* 90)</f>
      </c>
      <c r="BB93" s="11910">
        <f>IF(HLOOKUP("Mins",A1:CV300,93,FALSE)=0,0,HLOOKUP("Shots",A1:CV300,93,FALSE)/HLOOKUP("Mins",A1:CV300,93,FALSE)* 90)</f>
      </c>
      <c r="BC93" s="11911">
        <f>IF(HLOOKUP("Mins",A1:CV300,93,FALSE)=0,0,HLOOKUP("SIB",A1:CV300,93,FALSE)/HLOOKUP("Mins",A1:CV300,93,FALSE)* 90)</f>
      </c>
      <c r="BD93" s="11912">
        <f>IF(HLOOKUP("Mins",A1:CV300,93,FALSE)=0,0,HLOOKUP("S6YD",A1:CV300,93,FALSE)/HLOOKUP("Mins",A1:CV300,93,FALSE)* 90)</f>
      </c>
      <c r="BE93" s="11913">
        <f>IF(HLOOKUP("Mins",A1:CV300,93,FALSE)=0,0,HLOOKUP("Headers",A1:CV300,93,FALSE)/HLOOKUP("Mins",A1:CV300,93,FALSE)* 90)</f>
      </c>
      <c r="BF93" s="11914">
        <f>IF(HLOOKUP("Mins",A1:CV300,93,FALSE)=0,0,HLOOKUP("SOT",A1:CV300,93,FALSE)/HLOOKUP("Mins",A1:CV300,93,FALSE)* 90)</f>
      </c>
      <c r="BG93" s="11915">
        <f>IF(HLOOKUP("Mins",A1:CV300,93,FALSE)=0,0,HLOOKUP("As",A1:CV300,93,FALSE)/HLOOKUP("Mins",A1:CV300,93,FALSE)* 90)</f>
      </c>
      <c r="BH93" s="11916">
        <f>IF(HLOOKUP("Mins",A1:CV300,93,FALSE)=0,0,HLOOKUP("FPL As",A1:CV300,93,FALSE)/HLOOKUP("Mins",A1:CV300,93,FALSE)* 90)</f>
      </c>
      <c r="BI93" s="11917">
        <f>IF(HLOOKUP("Mins",A1:CV300,93,FALSE)=0,0,HLOOKUP("BC Created",A1:CV300,93,FALSE)/HLOOKUP("Mins",A1:CV300,93,FALSE)* 90)</f>
      </c>
      <c r="BJ93" s="11918">
        <f>IF(HLOOKUP("Mins",A1:CV300,93,FALSE)=0,0,HLOOKUP("KP",A1:CV300,93,FALSE)/HLOOKUP("Mins",A1:CV300,93,FALSE)* 90)</f>
      </c>
      <c r="BK93" s="11919">
        <f>IF(HLOOKUP("Mins",A1:CV300,93,FALSE)=0,0,HLOOKUP("BC",A1:CV300,93,FALSE)/HLOOKUP("Mins",A1:CV300,93,FALSE)* 90)</f>
      </c>
      <c r="BL93" s="11920">
        <f>IF(HLOOKUP("Mins",A1:CV300,93,FALSE)=0,0,HLOOKUP("BC Miss",A1:CV300,93,FALSE)/HLOOKUP("Mins",A1:CV300,93,FALSE)* 90)</f>
      </c>
      <c r="BM93" s="11921">
        <f>IF(HLOOKUP("Mins",A1:CV300,93,FALSE)=0,0,HLOOKUP("Gs - BC",A1:CV300,93,FALSE)/HLOOKUP("Mins",A1:CV300,93,FALSE)* 90)</f>
      </c>
      <c r="BN93" s="11922">
        <f>IF(HLOOKUP("Mins",A1:CV300,93,FALSE)=0,0,HLOOKUP("GIB",A1:CV300,93,FALSE)/HLOOKUP("Mins",A1:CV300,93,FALSE)* 90)</f>
      </c>
      <c r="BO93" s="11923">
        <f>IF(HLOOKUP("Mins",A1:CV300,93,FALSE)=0,0,HLOOKUP("Gs - Open",A1:CV300,93,FALSE)/HLOOKUP("Mins",A1:CV300,93,FALSE)* 90)</f>
      </c>
      <c r="BP93" s="11924">
        <f>IF(HLOOKUP("Mins",A1:CV300,93,FALSE)=0,0,HLOOKUP("ICT Index",A1:CV300,93,FALSE)/HLOOKUP("Mins",A1:CV300,93,FALSE)* 90)</f>
      </c>
      <c r="BQ93" s="11925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1926">
        <f>0.0825*HLOOKUP("KP/90",A1:CV300,93,FALSE)</f>
      </c>
      <c r="BS93" s="11927">
        <f>6*HLOOKUP("xG/90",A1:CV300,93,FALSE)+3*HLOOKUP("xA/90",A1:CV300,93,FALSE)</f>
      </c>
      <c r="BT93" s="11928">
        <f>HLOOKUP("xPts/90",A1:CV300,93,FALSE)-(6*0.75*(HLOOKUP("PK Gs",A1:CV300,93,FALSE)+HLOOKUP("PK Miss",A1:CV300,93,FALSE))*90/HLOOKUP("Mins",A1:CV300,93,FALSE))</f>
      </c>
      <c r="BU93" s="11929">
        <f>IF(HLOOKUP("Mins",A1:CV300,93,FALSE)=0,0,HLOOKUP("fsXG",A1:CV300,93,FALSE)/HLOOKUP("Mins",A1:CV300,93,FALSE)* 90)</f>
      </c>
      <c r="BV93" s="11930">
        <f>IF(HLOOKUP("Mins",A1:CV300,93,FALSE)=0,0,HLOOKUP("fsXA",A1:CV300,93,FALSE)/HLOOKUP("Mins",A1:CV300,93,FALSE)* 90)</f>
      </c>
      <c r="BW93" s="11931">
        <f>6*HLOOKUP("fsXG/90",A1:CV300,93,FALSE)+3*HLOOKUP("fsXA/90",A1:CV300,93,FALSE)</f>
      </c>
      <c r="BX93" t="n" s="11932">
        <v>0.23184187710285187</v>
      </c>
      <c r="BY93" t="n" s="11933">
        <v>0.019303234294056892</v>
      </c>
      <c r="BZ93" s="11934">
        <f>6*HLOOKUP("uXG/90",A1:CV300,93,FALSE)+3*HLOOKUP("uXA/90",A1:CV300,93,FALSE)</f>
      </c>
    </row>
    <row r="94">
      <c r="A94" t="s" s="11935">
        <v>250</v>
      </c>
      <c r="B94" t="s" s="11936">
        <v>85</v>
      </c>
      <c r="C94" t="n" s="11937">
        <v>4.5</v>
      </c>
      <c r="D94" t="n" s="11938">
        <v>540.0</v>
      </c>
      <c r="E94" t="n" s="11939">
        <v>6.0</v>
      </c>
      <c r="F94" t="n" s="11940">
        <v>68.0</v>
      </c>
      <c r="G94" t="n" s="11941">
        <v>0.0</v>
      </c>
      <c r="H94" t="n" s="11942">
        <v>2.0</v>
      </c>
      <c r="I94" t="n" s="11943">
        <v>354.0</v>
      </c>
      <c r="J94" s="11944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1945">
        <v>0.0</v>
      </c>
      <c r="L94" t="n" s="11946">
        <v>8.0</v>
      </c>
      <c r="M94" t="n" s="11947">
        <v>4.0</v>
      </c>
      <c r="N94" t="n" s="11948">
        <v>0.0</v>
      </c>
      <c r="O94" t="n" s="11949">
        <v>0.0</v>
      </c>
      <c r="P94" s="11950">
        <f>IF(HLOOKUP("Shots",A1:CV300,94,FALSE)=0,0,HLOOKUP("SIB",A1:CV300,94,FALSE)/HLOOKUP("Shots",A1:CV300,94,FALSE))</f>
      </c>
      <c r="Q94" t="n" s="11951">
        <v>0.0</v>
      </c>
      <c r="R94" s="11952">
        <f>IF(HLOOKUP("Shots",A1:CV300,94,FALSE)=0,0,HLOOKUP("S6YD",A1:CV300,94,FALSE)/HLOOKUP("Shots",A1:CV300,94,FALSE))</f>
      </c>
      <c r="S94" t="n" s="11953">
        <v>0.0</v>
      </c>
      <c r="T94" s="11954">
        <f>IF(HLOOKUP("Shots",A1:CV300,94,FALSE)=0,0,HLOOKUP("Headers",A1:CV300,94,FALSE)/HLOOKUP("Shots",A1:CV300,94,FALSE))</f>
      </c>
      <c r="U94" t="n" s="11955">
        <v>0.0</v>
      </c>
      <c r="V94" s="11956">
        <f>IF(HLOOKUP("Shots",A1:CV300,94,FALSE)=0,0,HLOOKUP("SOT",A1:CV300,94,FALSE)/HLOOKUP("Shots",A1:CV300,94,FALSE))</f>
      </c>
      <c r="W94" s="11957">
        <f>IF(HLOOKUP("Shots",A1:CV300,94,FALSE)=0,0,HLOOKUP("Gs",A1:CV300,94,FALSE)/HLOOKUP("Shots",A1:CV300,94,FALSE))</f>
      </c>
      <c r="X94" t="n" s="11958">
        <v>0.0</v>
      </c>
      <c r="Y94" t="n" s="11959">
        <v>0.0</v>
      </c>
      <c r="Z94" t="n" s="11960">
        <v>1.0</v>
      </c>
      <c r="AA94" s="11961">
        <f>IF(HLOOKUP("KP",A1:CV300,94,FALSE)=0,0,HLOOKUP("As",A1:CV300,94,FALSE)/HLOOKUP("KP",A1:CV300,94,FALSE))</f>
      </c>
      <c r="AB94" t="n" s="11962">
        <v>13.7</v>
      </c>
      <c r="AC94" t="n" s="11963">
        <v>0.0</v>
      </c>
      <c r="AD94" t="n" s="11964">
        <v>0.0</v>
      </c>
      <c r="AE94" t="n" s="11965">
        <v>0.0</v>
      </c>
      <c r="AF94" t="n" s="11966">
        <v>0.0</v>
      </c>
      <c r="AG94" s="11967">
        <f>IF(HLOOKUP("BC",A1:CV300,94,FALSE)=0,0,HLOOKUP("Gs - BC",A1:CV300,94,FALSE)/HLOOKUP("BC",A1:CV300,94,FALSE))</f>
      </c>
      <c r="AH94" s="11968">
        <f>HLOOKUP("BC",A1:CV300,94,FALSE) - HLOOKUP("BC Miss",A1:CV300,94,FALSE)</f>
      </c>
      <c r="AI94" s="11969">
        <f>IF(HLOOKUP("Gs",A1:CV300,94,FALSE)=0,0,HLOOKUP("Gs - BC",A1:CV300,94,FALSE)/HLOOKUP("Gs",A1:CV300,94,FALSE))</f>
      </c>
      <c r="AJ94" t="n" s="11970">
        <v>0.0</v>
      </c>
      <c r="AK94" t="n" s="11971">
        <v>0.0</v>
      </c>
      <c r="AL94" s="11972">
        <f>HLOOKUP("BC",A1:CV300,94,FALSE) - (HLOOKUP("PK Gs",A1:CV300,94,FALSE) + HLOOKUP("PK Miss",A1:CV300,94,FALSE))</f>
      </c>
      <c r="AM94" s="11973">
        <f>HLOOKUP("BC Miss",A1:CV300,94,FALSE) - HLOOKUP("PK Miss",A1:CV300,94,FALSE)</f>
      </c>
      <c r="AN94" s="11974">
        <f>IF(HLOOKUP("BC - Open",A1:CV300,94,FALSE)=0,0,HLOOKUP("BC - Open Miss",A1:CV300,94,FALSE)/HLOOKUP("BC - Open",A1:CV300,94,FALSE))</f>
      </c>
      <c r="AO94" t="n" s="11975">
        <v>0.0</v>
      </c>
      <c r="AP94" s="11976">
        <f>IF(HLOOKUP("Gs",A1:CV300,94,FALSE)=0,0,HLOOKUP("GIB",A1:CV300,94,FALSE)/HLOOKUP("Gs",A1:CV300,94,FALSE))</f>
      </c>
      <c r="AQ94" t="n" s="11977">
        <v>0.0</v>
      </c>
      <c r="AR94" s="11978">
        <f>IF(HLOOKUP("Gs",A1:CV300,94,FALSE)=0,0,HLOOKUP("Gs - Open",A1:CV300,94,FALSE)/HLOOKUP("Gs",A1:CV300,94,FALSE))</f>
      </c>
      <c r="AS94" t="n" s="11979">
        <v>0.0</v>
      </c>
      <c r="AT94" t="n" s="11980">
        <v>0.14</v>
      </c>
      <c r="AU94" s="11981">
        <f>IF(HLOOKUP("Mins",A1:CV300,94,FALSE)=0,0,HLOOKUP("Pts",A1:CV300,94,FALSE)/HLOOKUP("Mins",A1:CV300,94,FALSE)* 90)</f>
      </c>
      <c r="AV94" s="11982">
        <f>IF(HLOOKUP("Apps",A1:CV300,94,FALSE)=0,0,HLOOKUP("Pts",A1:CV300,94,FALSE)/HLOOKUP("Apps",A1:CV300,94,FALSE)* 1)</f>
      </c>
      <c r="AW94" s="11983">
        <f>IF(HLOOKUP("Mins",A1:CV300,94,FALSE)=0,0,HLOOKUP("Gs",A1:CV300,94,FALSE)/HLOOKUP("Mins",A1:CV300,94,FALSE)* 90)</f>
      </c>
      <c r="AX94" s="11984">
        <f>IF(HLOOKUP("Mins",A1:CV300,94,FALSE)=0,0,HLOOKUP("Bonus",A1:CV300,94,FALSE)/HLOOKUP("Mins",A1:CV300,94,FALSE)* 90)</f>
      </c>
      <c r="AY94" s="11985">
        <f>IF(HLOOKUP("Mins",A1:CV300,94,FALSE)=0,0,HLOOKUP("BPS",A1:CV300,94,FALSE)/HLOOKUP("Mins",A1:CV300,94,FALSE)* 90)</f>
      </c>
      <c r="AZ94" s="11986">
        <f>IF(HLOOKUP("Mins",A1:CV300,94,FALSE)=0,0,HLOOKUP("Base BPS",A1:CV300,94,FALSE)/HLOOKUP("Mins",A1:CV300,94,FALSE)* 90)</f>
      </c>
      <c r="BA94" s="11987">
        <f>IF(HLOOKUP("Mins",A1:CV300,94,FALSE)=0,0,HLOOKUP("PenTchs",A1:CV300,94,FALSE)/HLOOKUP("Mins",A1:CV300,94,FALSE)* 90)</f>
      </c>
      <c r="BB94" s="11988">
        <f>IF(HLOOKUP("Mins",A1:CV300,94,FALSE)=0,0,HLOOKUP("Shots",A1:CV300,94,FALSE)/HLOOKUP("Mins",A1:CV300,94,FALSE)* 90)</f>
      </c>
      <c r="BC94" s="11989">
        <f>IF(HLOOKUP("Mins",A1:CV300,94,FALSE)=0,0,HLOOKUP("SIB",A1:CV300,94,FALSE)/HLOOKUP("Mins",A1:CV300,94,FALSE)* 90)</f>
      </c>
      <c r="BD94" s="11990">
        <f>IF(HLOOKUP("Mins",A1:CV300,94,FALSE)=0,0,HLOOKUP("S6YD",A1:CV300,94,FALSE)/HLOOKUP("Mins",A1:CV300,94,FALSE)* 90)</f>
      </c>
      <c r="BE94" s="11991">
        <f>IF(HLOOKUP("Mins",A1:CV300,94,FALSE)=0,0,HLOOKUP("Headers",A1:CV300,94,FALSE)/HLOOKUP("Mins",A1:CV300,94,FALSE)* 90)</f>
      </c>
      <c r="BF94" s="11992">
        <f>IF(HLOOKUP("Mins",A1:CV300,94,FALSE)=0,0,HLOOKUP("SOT",A1:CV300,94,FALSE)/HLOOKUP("Mins",A1:CV300,94,FALSE)* 90)</f>
      </c>
      <c r="BG94" s="11993">
        <f>IF(HLOOKUP("Mins",A1:CV300,94,FALSE)=0,0,HLOOKUP("As",A1:CV300,94,FALSE)/HLOOKUP("Mins",A1:CV300,94,FALSE)* 90)</f>
      </c>
      <c r="BH94" s="11994">
        <f>IF(HLOOKUP("Mins",A1:CV300,94,FALSE)=0,0,HLOOKUP("FPL As",A1:CV300,94,FALSE)/HLOOKUP("Mins",A1:CV300,94,FALSE)* 90)</f>
      </c>
      <c r="BI94" s="11995">
        <f>IF(HLOOKUP("Mins",A1:CV300,94,FALSE)=0,0,HLOOKUP("BC Created",A1:CV300,94,FALSE)/HLOOKUP("Mins",A1:CV300,94,FALSE)* 90)</f>
      </c>
      <c r="BJ94" s="11996">
        <f>IF(HLOOKUP("Mins",A1:CV300,94,FALSE)=0,0,HLOOKUP("KP",A1:CV300,94,FALSE)/HLOOKUP("Mins",A1:CV300,94,FALSE)* 90)</f>
      </c>
      <c r="BK94" s="11997">
        <f>IF(HLOOKUP("Mins",A1:CV300,94,FALSE)=0,0,HLOOKUP("BC",A1:CV300,94,FALSE)/HLOOKUP("Mins",A1:CV300,94,FALSE)* 90)</f>
      </c>
      <c r="BL94" s="11998">
        <f>IF(HLOOKUP("Mins",A1:CV300,94,FALSE)=0,0,HLOOKUP("BC Miss",A1:CV300,94,FALSE)/HLOOKUP("Mins",A1:CV300,94,FALSE)* 90)</f>
      </c>
      <c r="BM94" s="11999">
        <f>IF(HLOOKUP("Mins",A1:CV300,94,FALSE)=0,0,HLOOKUP("Gs - BC",A1:CV300,94,FALSE)/HLOOKUP("Mins",A1:CV300,94,FALSE)* 90)</f>
      </c>
      <c r="BN94" s="12000">
        <f>IF(HLOOKUP("Mins",A1:CV300,94,FALSE)=0,0,HLOOKUP("GIB",A1:CV300,94,FALSE)/HLOOKUP("Mins",A1:CV300,94,FALSE)* 90)</f>
      </c>
      <c r="BO94" s="12001">
        <f>IF(HLOOKUP("Mins",A1:CV300,94,FALSE)=0,0,HLOOKUP("Gs - Open",A1:CV300,94,FALSE)/HLOOKUP("Mins",A1:CV300,94,FALSE)* 90)</f>
      </c>
      <c r="BP94" s="12002">
        <f>IF(HLOOKUP("Mins",A1:CV300,94,FALSE)=0,0,HLOOKUP("ICT Index",A1:CV300,94,FALSE)/HLOOKUP("Mins",A1:CV300,94,FALSE)* 90)</f>
      </c>
      <c r="BQ94" s="12003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2004">
        <f>0.0825*HLOOKUP("KP/90",A1:CV300,94,FALSE)</f>
      </c>
      <c r="BS94" s="12005">
        <f>6*HLOOKUP("xG/90",A1:CV300,94,FALSE)+3*HLOOKUP("xA/90",A1:CV300,94,FALSE)</f>
      </c>
      <c r="BT94" s="12006">
        <f>HLOOKUP("xPts/90",A1:CV300,94,FALSE)-(6*0.75*(HLOOKUP("PK Gs",A1:CV300,94,FALSE)+HLOOKUP("PK Miss",A1:CV300,94,FALSE))*90/HLOOKUP("Mins",A1:CV300,94,FALSE))</f>
      </c>
      <c r="BU94" s="12007">
        <f>IF(HLOOKUP("Mins",A1:CV300,94,FALSE)=0,0,HLOOKUP("fsXG",A1:CV300,94,FALSE)/HLOOKUP("Mins",A1:CV300,94,FALSE)* 90)</f>
      </c>
      <c r="BV94" s="12008">
        <f>IF(HLOOKUP("Mins",A1:CV300,94,FALSE)=0,0,HLOOKUP("fsXA",A1:CV300,94,FALSE)/HLOOKUP("Mins",A1:CV300,94,FALSE)* 90)</f>
      </c>
      <c r="BW94" s="12009">
        <f>6*HLOOKUP("fsXG/90",A1:CV300,94,FALSE)+3*HLOOKUP("fsXA/90",A1:CV300,94,FALSE)</f>
      </c>
      <c r="BX94" t="n" s="12010">
        <v>0.0</v>
      </c>
      <c r="BY94" t="n" s="12011">
        <v>0.008733662776648998</v>
      </c>
      <c r="BZ94" s="12012">
        <f>6*HLOOKUP("uXG/90",A1:CV300,94,FALSE)+3*HLOOKUP("uXA/90",A1:CV300,94,FALSE)</f>
      </c>
    </row>
    <row r="95">
      <c r="A95" t="s" s="12013">
        <v>251</v>
      </c>
      <c r="B95" t="s" s="12014">
        <v>102</v>
      </c>
      <c r="C95" t="n" s="12015">
        <v>5.0</v>
      </c>
      <c r="D95" t="n" s="12016">
        <v>409.0</v>
      </c>
      <c r="E95" t="n" s="12017">
        <v>5.0</v>
      </c>
      <c r="F95" t="n" s="12018">
        <v>47.0</v>
      </c>
      <c r="G95" t="n" s="12019">
        <v>1.0</v>
      </c>
      <c r="H95" t="n" s="12020">
        <v>2.0</v>
      </c>
      <c r="I95" t="n" s="12021">
        <v>224.0</v>
      </c>
      <c r="J95" s="12022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2023">
        <v>0.0</v>
      </c>
      <c r="L95" t="n" s="12024">
        <v>4.0</v>
      </c>
      <c r="M95" t="n" s="12025">
        <v>5.0</v>
      </c>
      <c r="N95" t="n" s="12026">
        <v>5.0</v>
      </c>
      <c r="O95" t="n" s="12027">
        <v>3.0</v>
      </c>
      <c r="P95" s="12028">
        <f>IF(HLOOKUP("Shots",A1:CV300,95,FALSE)=0,0,HLOOKUP("SIB",A1:CV300,95,FALSE)/HLOOKUP("Shots",A1:CV300,95,FALSE))</f>
      </c>
      <c r="Q95" t="n" s="12029">
        <v>0.0</v>
      </c>
      <c r="R95" s="12030">
        <f>IF(HLOOKUP("Shots",A1:CV300,95,FALSE)=0,0,HLOOKUP("S6YD",A1:CV300,95,FALSE)/HLOOKUP("Shots",A1:CV300,95,FALSE))</f>
      </c>
      <c r="S95" t="n" s="12031">
        <v>1.0</v>
      </c>
      <c r="T95" s="12032">
        <f>IF(HLOOKUP("Shots",A1:CV300,95,FALSE)=0,0,HLOOKUP("Headers",A1:CV300,95,FALSE)/HLOOKUP("Shots",A1:CV300,95,FALSE))</f>
      </c>
      <c r="U95" t="n" s="12033">
        <v>3.0</v>
      </c>
      <c r="V95" s="12034">
        <f>IF(HLOOKUP("Shots",A1:CV300,95,FALSE)=0,0,HLOOKUP("SOT",A1:CV300,95,FALSE)/HLOOKUP("Shots",A1:CV300,95,FALSE))</f>
      </c>
      <c r="W95" s="12035">
        <f>IF(HLOOKUP("Shots",A1:CV300,95,FALSE)=0,0,HLOOKUP("Gs",A1:CV300,95,FALSE)/HLOOKUP("Shots",A1:CV300,95,FALSE))</f>
      </c>
      <c r="X95" t="n" s="12036">
        <v>0.0</v>
      </c>
      <c r="Y95" t="n" s="12037">
        <v>0.0</v>
      </c>
      <c r="Z95" t="n" s="12038">
        <v>3.0</v>
      </c>
      <c r="AA95" s="12039">
        <f>IF(HLOOKUP("KP",A1:CV300,95,FALSE)=0,0,HLOOKUP("As",A1:CV300,95,FALSE)/HLOOKUP("KP",A1:CV300,95,FALSE))</f>
      </c>
      <c r="AB95" t="n" s="12040">
        <v>20.1</v>
      </c>
      <c r="AC95" t="n" s="12041">
        <v>33.0</v>
      </c>
      <c r="AD95" t="n" s="12042">
        <v>0.0</v>
      </c>
      <c r="AE95" t="n" s="12043">
        <v>0.0</v>
      </c>
      <c r="AF95" t="n" s="12044">
        <v>0.0</v>
      </c>
      <c r="AG95" s="12045">
        <f>IF(HLOOKUP("BC",A1:CV300,95,FALSE)=0,0,HLOOKUP("Gs - BC",A1:CV300,95,FALSE)/HLOOKUP("BC",A1:CV300,95,FALSE))</f>
      </c>
      <c r="AH95" s="12046">
        <f>HLOOKUP("BC",A1:CV300,95,FALSE) - HLOOKUP("BC Miss",A1:CV300,95,FALSE)</f>
      </c>
      <c r="AI95" s="12047">
        <f>IF(HLOOKUP("Gs",A1:CV300,95,FALSE)=0,0,HLOOKUP("Gs - BC",A1:CV300,95,FALSE)/HLOOKUP("Gs",A1:CV300,95,FALSE))</f>
      </c>
      <c r="AJ95" t="n" s="12048">
        <v>0.0</v>
      </c>
      <c r="AK95" t="n" s="12049">
        <v>0.0</v>
      </c>
      <c r="AL95" s="12050">
        <f>HLOOKUP("BC",A1:CV300,95,FALSE) - (HLOOKUP("PK Gs",A1:CV300,95,FALSE) + HLOOKUP("PK Miss",A1:CV300,95,FALSE))</f>
      </c>
      <c r="AM95" s="12051">
        <f>HLOOKUP("BC Miss",A1:CV300,95,FALSE) - HLOOKUP("PK Miss",A1:CV300,95,FALSE)</f>
      </c>
      <c r="AN95" s="12052">
        <f>IF(HLOOKUP("BC - Open",A1:CV300,95,FALSE)=0,0,HLOOKUP("BC - Open Miss",A1:CV300,95,FALSE)/HLOOKUP("BC - Open",A1:CV300,95,FALSE))</f>
      </c>
      <c r="AO95" t="n" s="12053">
        <v>1.0</v>
      </c>
      <c r="AP95" s="12054">
        <f>IF(HLOOKUP("Gs",A1:CV300,95,FALSE)=0,0,HLOOKUP("GIB",A1:CV300,95,FALSE)/HLOOKUP("Gs",A1:CV300,95,FALSE))</f>
      </c>
      <c r="AQ95" t="n" s="12055">
        <v>0.0</v>
      </c>
      <c r="AR95" s="12056">
        <f>IF(HLOOKUP("Gs",A1:CV300,95,FALSE)=0,0,HLOOKUP("Gs - Open",A1:CV300,95,FALSE)/HLOOKUP("Gs",A1:CV300,95,FALSE))</f>
      </c>
      <c r="AS95" t="n" s="12057">
        <v>0.45</v>
      </c>
      <c r="AT95" t="n" s="12058">
        <v>0.09</v>
      </c>
      <c r="AU95" s="12059">
        <f>IF(HLOOKUP("Mins",A1:CV300,95,FALSE)=0,0,HLOOKUP("Pts",A1:CV300,95,FALSE)/HLOOKUP("Mins",A1:CV300,95,FALSE)* 90)</f>
      </c>
      <c r="AV95" s="12060">
        <f>IF(HLOOKUP("Apps",A1:CV300,95,FALSE)=0,0,HLOOKUP("Pts",A1:CV300,95,FALSE)/HLOOKUP("Apps",A1:CV300,95,FALSE)* 1)</f>
      </c>
      <c r="AW95" s="12061">
        <f>IF(HLOOKUP("Mins",A1:CV300,95,FALSE)=0,0,HLOOKUP("Gs",A1:CV300,95,FALSE)/HLOOKUP("Mins",A1:CV300,95,FALSE)* 90)</f>
      </c>
      <c r="AX95" s="12062">
        <f>IF(HLOOKUP("Mins",A1:CV300,95,FALSE)=0,0,HLOOKUP("Bonus",A1:CV300,95,FALSE)/HLOOKUP("Mins",A1:CV300,95,FALSE)* 90)</f>
      </c>
      <c r="AY95" s="12063">
        <f>IF(HLOOKUP("Mins",A1:CV300,95,FALSE)=0,0,HLOOKUP("BPS",A1:CV300,95,FALSE)/HLOOKUP("Mins",A1:CV300,95,FALSE)* 90)</f>
      </c>
      <c r="AZ95" s="12064">
        <f>IF(HLOOKUP("Mins",A1:CV300,95,FALSE)=0,0,HLOOKUP("Base BPS",A1:CV300,95,FALSE)/HLOOKUP("Mins",A1:CV300,95,FALSE)* 90)</f>
      </c>
      <c r="BA95" s="12065">
        <f>IF(HLOOKUP("Mins",A1:CV300,95,FALSE)=0,0,HLOOKUP("PenTchs",A1:CV300,95,FALSE)/HLOOKUP("Mins",A1:CV300,95,FALSE)* 90)</f>
      </c>
      <c r="BB95" s="12066">
        <f>IF(HLOOKUP("Mins",A1:CV300,95,FALSE)=0,0,HLOOKUP("Shots",A1:CV300,95,FALSE)/HLOOKUP("Mins",A1:CV300,95,FALSE)* 90)</f>
      </c>
      <c r="BC95" s="12067">
        <f>IF(HLOOKUP("Mins",A1:CV300,95,FALSE)=0,0,HLOOKUP("SIB",A1:CV300,95,FALSE)/HLOOKUP("Mins",A1:CV300,95,FALSE)* 90)</f>
      </c>
      <c r="BD95" s="12068">
        <f>IF(HLOOKUP("Mins",A1:CV300,95,FALSE)=0,0,HLOOKUP("S6YD",A1:CV300,95,FALSE)/HLOOKUP("Mins",A1:CV300,95,FALSE)* 90)</f>
      </c>
      <c r="BE95" s="12069">
        <f>IF(HLOOKUP("Mins",A1:CV300,95,FALSE)=0,0,HLOOKUP("Headers",A1:CV300,95,FALSE)/HLOOKUP("Mins",A1:CV300,95,FALSE)* 90)</f>
      </c>
      <c r="BF95" s="12070">
        <f>IF(HLOOKUP("Mins",A1:CV300,95,FALSE)=0,0,HLOOKUP("SOT",A1:CV300,95,FALSE)/HLOOKUP("Mins",A1:CV300,95,FALSE)* 90)</f>
      </c>
      <c r="BG95" s="12071">
        <f>IF(HLOOKUP("Mins",A1:CV300,95,FALSE)=0,0,HLOOKUP("As",A1:CV300,95,FALSE)/HLOOKUP("Mins",A1:CV300,95,FALSE)* 90)</f>
      </c>
      <c r="BH95" s="12072">
        <f>IF(HLOOKUP("Mins",A1:CV300,95,FALSE)=0,0,HLOOKUP("FPL As",A1:CV300,95,FALSE)/HLOOKUP("Mins",A1:CV300,95,FALSE)* 90)</f>
      </c>
      <c r="BI95" s="12073">
        <f>IF(HLOOKUP("Mins",A1:CV300,95,FALSE)=0,0,HLOOKUP("BC Created",A1:CV300,95,FALSE)/HLOOKUP("Mins",A1:CV300,95,FALSE)* 90)</f>
      </c>
      <c r="BJ95" s="12074">
        <f>IF(HLOOKUP("Mins",A1:CV300,95,FALSE)=0,0,HLOOKUP("KP",A1:CV300,95,FALSE)/HLOOKUP("Mins",A1:CV300,95,FALSE)* 90)</f>
      </c>
      <c r="BK95" s="12075">
        <f>IF(HLOOKUP("Mins",A1:CV300,95,FALSE)=0,0,HLOOKUP("BC",A1:CV300,95,FALSE)/HLOOKUP("Mins",A1:CV300,95,FALSE)* 90)</f>
      </c>
      <c r="BL95" s="12076">
        <f>IF(HLOOKUP("Mins",A1:CV300,95,FALSE)=0,0,HLOOKUP("BC Miss",A1:CV300,95,FALSE)/HLOOKUP("Mins",A1:CV300,95,FALSE)* 90)</f>
      </c>
      <c r="BM95" s="12077">
        <f>IF(HLOOKUP("Mins",A1:CV300,95,FALSE)=0,0,HLOOKUP("Gs - BC",A1:CV300,95,FALSE)/HLOOKUP("Mins",A1:CV300,95,FALSE)* 90)</f>
      </c>
      <c r="BN95" s="12078">
        <f>IF(HLOOKUP("Mins",A1:CV300,95,FALSE)=0,0,HLOOKUP("GIB",A1:CV300,95,FALSE)/HLOOKUP("Mins",A1:CV300,95,FALSE)* 90)</f>
      </c>
      <c r="BO95" s="12079">
        <f>IF(HLOOKUP("Mins",A1:CV300,95,FALSE)=0,0,HLOOKUP("Gs - Open",A1:CV300,95,FALSE)/HLOOKUP("Mins",A1:CV300,95,FALSE)* 90)</f>
      </c>
      <c r="BP95" s="12080">
        <f>IF(HLOOKUP("Mins",A1:CV300,95,FALSE)=0,0,HLOOKUP("ICT Index",A1:CV300,95,FALSE)/HLOOKUP("Mins",A1:CV300,95,FALSE)* 90)</f>
      </c>
      <c r="BQ95" s="12081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2082">
        <f>0.0825*HLOOKUP("KP/90",A1:CV300,95,FALSE)</f>
      </c>
      <c r="BS95" s="12083">
        <f>6*HLOOKUP("xG/90",A1:CV300,95,FALSE)+3*HLOOKUP("xA/90",A1:CV300,95,FALSE)</f>
      </c>
      <c r="BT95" s="12084">
        <f>HLOOKUP("xPts/90",A1:CV300,95,FALSE)-(6*0.75*(HLOOKUP("PK Gs",A1:CV300,95,FALSE)+HLOOKUP("PK Miss",A1:CV300,95,FALSE))*90/HLOOKUP("Mins",A1:CV300,95,FALSE))</f>
      </c>
      <c r="BU95" s="12085">
        <f>IF(HLOOKUP("Mins",A1:CV300,95,FALSE)=0,0,HLOOKUP("fsXG",A1:CV300,95,FALSE)/HLOOKUP("Mins",A1:CV300,95,FALSE)* 90)</f>
      </c>
      <c r="BV95" s="12086">
        <f>IF(HLOOKUP("Mins",A1:CV300,95,FALSE)=0,0,HLOOKUP("fsXA",A1:CV300,95,FALSE)/HLOOKUP("Mins",A1:CV300,95,FALSE)* 90)</f>
      </c>
      <c r="BW95" s="12087">
        <f>6*HLOOKUP("fsXG/90",A1:CV300,95,FALSE)+3*HLOOKUP("fsXA/90",A1:CV300,95,FALSE)</f>
      </c>
      <c r="BX95" t="n" s="12088">
        <v>0.03941011428833008</v>
      </c>
      <c r="BY95" t="n" s="12089">
        <v>0.016722701489925385</v>
      </c>
      <c r="BZ95" s="12090">
        <f>6*HLOOKUP("uXG/90",A1:CV300,95,FALSE)+3*HLOOKUP("uXA/90",A1:CV300,95,FALSE)</f>
      </c>
    </row>
    <row r="96">
      <c r="A96" t="s" s="12091">
        <v>252</v>
      </c>
      <c r="B96" t="s" s="12092">
        <v>92</v>
      </c>
      <c r="C96" t="n" s="12093">
        <v>5.0</v>
      </c>
      <c r="D96" t="n" s="12094">
        <v>360.0</v>
      </c>
      <c r="E96" t="n" s="12095">
        <v>4.0</v>
      </c>
      <c r="F96" t="n" s="12096">
        <v>46.0</v>
      </c>
      <c r="G96" t="n" s="12097">
        <v>0.0</v>
      </c>
      <c r="H96" t="n" s="12098">
        <v>5.0</v>
      </c>
      <c r="I96" t="n" s="12099">
        <v>288.0</v>
      </c>
      <c r="J96" s="12100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2101">
        <v>0.0</v>
      </c>
      <c r="L96" t="n" s="12102">
        <v>3.0</v>
      </c>
      <c r="M96" t="n" s="12103">
        <v>2.0</v>
      </c>
      <c r="N96" t="n" s="12104">
        <v>1.0</v>
      </c>
      <c r="O96" t="n" s="12105">
        <v>0.0</v>
      </c>
      <c r="P96" s="12106">
        <f>IF(HLOOKUP("Shots",A1:CV300,96,FALSE)=0,0,HLOOKUP("SIB",A1:CV300,96,FALSE)/HLOOKUP("Shots",A1:CV300,96,FALSE))</f>
      </c>
      <c r="Q96" t="n" s="12107">
        <v>0.0</v>
      </c>
      <c r="R96" s="12108">
        <f>IF(HLOOKUP("Shots",A1:CV300,96,FALSE)=0,0,HLOOKUP("S6YD",A1:CV300,96,FALSE)/HLOOKUP("Shots",A1:CV300,96,FALSE))</f>
      </c>
      <c r="S96" t="n" s="12109">
        <v>0.0</v>
      </c>
      <c r="T96" s="12110">
        <f>IF(HLOOKUP("Shots",A1:CV300,96,FALSE)=0,0,HLOOKUP("Headers",A1:CV300,96,FALSE)/HLOOKUP("Shots",A1:CV300,96,FALSE))</f>
      </c>
      <c r="U96" t="n" s="12111">
        <v>0.0</v>
      </c>
      <c r="V96" s="12112">
        <f>IF(HLOOKUP("Shots",A1:CV300,96,FALSE)=0,0,HLOOKUP("SOT",A1:CV300,96,FALSE)/HLOOKUP("Shots",A1:CV300,96,FALSE))</f>
      </c>
      <c r="W96" s="12113">
        <f>IF(HLOOKUP("Shots",A1:CV300,96,FALSE)=0,0,HLOOKUP("Gs",A1:CV300,96,FALSE)/HLOOKUP("Shots",A1:CV300,96,FALSE))</f>
      </c>
      <c r="X96" t="n" s="12114">
        <v>0.0</v>
      </c>
      <c r="Y96" t="n" s="12115">
        <v>0.0</v>
      </c>
      <c r="Z96" t="n" s="12116">
        <v>0.0</v>
      </c>
      <c r="AA96" s="12117">
        <f>IF(HLOOKUP("KP",A1:CV300,96,FALSE)=0,0,HLOOKUP("As",A1:CV300,96,FALSE)/HLOOKUP("KP",A1:CV300,96,FALSE))</f>
      </c>
      <c r="AB96" t="n" s="12118">
        <v>8.7</v>
      </c>
      <c r="AC96" t="n" s="12119">
        <v>0.0</v>
      </c>
      <c r="AD96" t="n" s="12120">
        <v>0.0</v>
      </c>
      <c r="AE96" t="n" s="12121">
        <v>0.0</v>
      </c>
      <c r="AF96" t="n" s="12122">
        <v>0.0</v>
      </c>
      <c r="AG96" s="12123">
        <f>IF(HLOOKUP("BC",A1:CV300,96,FALSE)=0,0,HLOOKUP("Gs - BC",A1:CV300,96,FALSE)/HLOOKUP("BC",A1:CV300,96,FALSE))</f>
      </c>
      <c r="AH96" s="12124">
        <f>HLOOKUP("BC",A1:CV300,96,FALSE) - HLOOKUP("BC Miss",A1:CV300,96,FALSE)</f>
      </c>
      <c r="AI96" s="12125">
        <f>IF(HLOOKUP("Gs",A1:CV300,96,FALSE)=0,0,HLOOKUP("Gs - BC",A1:CV300,96,FALSE)/HLOOKUP("Gs",A1:CV300,96,FALSE))</f>
      </c>
      <c r="AJ96" t="n" s="12126">
        <v>0.0</v>
      </c>
      <c r="AK96" t="n" s="12127">
        <v>0.0</v>
      </c>
      <c r="AL96" s="12128">
        <f>HLOOKUP("BC",A1:CV300,96,FALSE) - (HLOOKUP("PK Gs",A1:CV300,96,FALSE) + HLOOKUP("PK Miss",A1:CV300,96,FALSE))</f>
      </c>
      <c r="AM96" s="12129">
        <f>HLOOKUP("BC Miss",A1:CV300,96,FALSE) - HLOOKUP("PK Miss",A1:CV300,96,FALSE)</f>
      </c>
      <c r="AN96" s="12130">
        <f>IF(HLOOKUP("BC - Open",A1:CV300,96,FALSE)=0,0,HLOOKUP("BC - Open Miss",A1:CV300,96,FALSE)/HLOOKUP("BC - Open",A1:CV300,96,FALSE))</f>
      </c>
      <c r="AO96" t="n" s="12131">
        <v>0.0</v>
      </c>
      <c r="AP96" s="12132">
        <f>IF(HLOOKUP("Gs",A1:CV300,96,FALSE)=0,0,HLOOKUP("GIB",A1:CV300,96,FALSE)/HLOOKUP("Gs",A1:CV300,96,FALSE))</f>
      </c>
      <c r="AQ96" t="n" s="12133">
        <v>0.0</v>
      </c>
      <c r="AR96" s="12134">
        <f>IF(HLOOKUP("Gs",A1:CV300,96,FALSE)=0,0,HLOOKUP("Gs - Open",A1:CV300,96,FALSE)/HLOOKUP("Gs",A1:CV300,96,FALSE))</f>
      </c>
      <c r="AS96" t="n" s="12135">
        <v>0.02</v>
      </c>
      <c r="AT96" t="n" s="12136">
        <v>0.08</v>
      </c>
      <c r="AU96" s="12137">
        <f>IF(HLOOKUP("Mins",A1:CV300,96,FALSE)=0,0,HLOOKUP("Pts",A1:CV300,96,FALSE)/HLOOKUP("Mins",A1:CV300,96,FALSE)* 90)</f>
      </c>
      <c r="AV96" s="12138">
        <f>IF(HLOOKUP("Apps",A1:CV300,96,FALSE)=0,0,HLOOKUP("Pts",A1:CV300,96,FALSE)/HLOOKUP("Apps",A1:CV300,96,FALSE)* 1)</f>
      </c>
      <c r="AW96" s="12139">
        <f>IF(HLOOKUP("Mins",A1:CV300,96,FALSE)=0,0,HLOOKUP("Gs",A1:CV300,96,FALSE)/HLOOKUP("Mins",A1:CV300,96,FALSE)* 90)</f>
      </c>
      <c r="AX96" s="12140">
        <f>IF(HLOOKUP("Mins",A1:CV300,96,FALSE)=0,0,HLOOKUP("Bonus",A1:CV300,96,FALSE)/HLOOKUP("Mins",A1:CV300,96,FALSE)* 90)</f>
      </c>
      <c r="AY96" s="12141">
        <f>IF(HLOOKUP("Mins",A1:CV300,96,FALSE)=0,0,HLOOKUP("BPS",A1:CV300,96,FALSE)/HLOOKUP("Mins",A1:CV300,96,FALSE)* 90)</f>
      </c>
      <c r="AZ96" s="12142">
        <f>IF(HLOOKUP("Mins",A1:CV300,96,FALSE)=0,0,HLOOKUP("Base BPS",A1:CV300,96,FALSE)/HLOOKUP("Mins",A1:CV300,96,FALSE)* 90)</f>
      </c>
      <c r="BA96" s="12143">
        <f>IF(HLOOKUP("Mins",A1:CV300,96,FALSE)=0,0,HLOOKUP("PenTchs",A1:CV300,96,FALSE)/HLOOKUP("Mins",A1:CV300,96,FALSE)* 90)</f>
      </c>
      <c r="BB96" s="12144">
        <f>IF(HLOOKUP("Mins",A1:CV300,96,FALSE)=0,0,HLOOKUP("Shots",A1:CV300,96,FALSE)/HLOOKUP("Mins",A1:CV300,96,FALSE)* 90)</f>
      </c>
      <c r="BC96" s="12145">
        <f>IF(HLOOKUP("Mins",A1:CV300,96,FALSE)=0,0,HLOOKUP("SIB",A1:CV300,96,FALSE)/HLOOKUP("Mins",A1:CV300,96,FALSE)* 90)</f>
      </c>
      <c r="BD96" s="12146">
        <f>IF(HLOOKUP("Mins",A1:CV300,96,FALSE)=0,0,HLOOKUP("S6YD",A1:CV300,96,FALSE)/HLOOKUP("Mins",A1:CV300,96,FALSE)* 90)</f>
      </c>
      <c r="BE96" s="12147">
        <f>IF(HLOOKUP("Mins",A1:CV300,96,FALSE)=0,0,HLOOKUP("Headers",A1:CV300,96,FALSE)/HLOOKUP("Mins",A1:CV300,96,FALSE)* 90)</f>
      </c>
      <c r="BF96" s="12148">
        <f>IF(HLOOKUP("Mins",A1:CV300,96,FALSE)=0,0,HLOOKUP("SOT",A1:CV300,96,FALSE)/HLOOKUP("Mins",A1:CV300,96,FALSE)* 90)</f>
      </c>
      <c r="BG96" s="12149">
        <f>IF(HLOOKUP("Mins",A1:CV300,96,FALSE)=0,0,HLOOKUP("As",A1:CV300,96,FALSE)/HLOOKUP("Mins",A1:CV300,96,FALSE)* 90)</f>
      </c>
      <c r="BH96" s="12150">
        <f>IF(HLOOKUP("Mins",A1:CV300,96,FALSE)=0,0,HLOOKUP("FPL As",A1:CV300,96,FALSE)/HLOOKUP("Mins",A1:CV300,96,FALSE)* 90)</f>
      </c>
      <c r="BI96" s="12151">
        <f>IF(HLOOKUP("Mins",A1:CV300,96,FALSE)=0,0,HLOOKUP("BC Created",A1:CV300,96,FALSE)/HLOOKUP("Mins",A1:CV300,96,FALSE)* 90)</f>
      </c>
      <c r="BJ96" s="12152">
        <f>IF(HLOOKUP("Mins",A1:CV300,96,FALSE)=0,0,HLOOKUP("KP",A1:CV300,96,FALSE)/HLOOKUP("Mins",A1:CV300,96,FALSE)* 90)</f>
      </c>
      <c r="BK96" s="12153">
        <f>IF(HLOOKUP("Mins",A1:CV300,96,FALSE)=0,0,HLOOKUP("BC",A1:CV300,96,FALSE)/HLOOKUP("Mins",A1:CV300,96,FALSE)* 90)</f>
      </c>
      <c r="BL96" s="12154">
        <f>IF(HLOOKUP("Mins",A1:CV300,96,FALSE)=0,0,HLOOKUP("BC Miss",A1:CV300,96,FALSE)/HLOOKUP("Mins",A1:CV300,96,FALSE)* 90)</f>
      </c>
      <c r="BM96" s="12155">
        <f>IF(HLOOKUP("Mins",A1:CV300,96,FALSE)=0,0,HLOOKUP("Gs - BC",A1:CV300,96,FALSE)/HLOOKUP("Mins",A1:CV300,96,FALSE)* 90)</f>
      </c>
      <c r="BN96" s="12156">
        <f>IF(HLOOKUP("Mins",A1:CV300,96,FALSE)=0,0,HLOOKUP("GIB",A1:CV300,96,FALSE)/HLOOKUP("Mins",A1:CV300,96,FALSE)* 90)</f>
      </c>
      <c r="BO96" s="12157">
        <f>IF(HLOOKUP("Mins",A1:CV300,96,FALSE)=0,0,HLOOKUP("Gs - Open",A1:CV300,96,FALSE)/HLOOKUP("Mins",A1:CV300,96,FALSE)* 90)</f>
      </c>
      <c r="BP96" s="12158">
        <f>IF(HLOOKUP("Mins",A1:CV300,96,FALSE)=0,0,HLOOKUP("ICT Index",A1:CV300,96,FALSE)/HLOOKUP("Mins",A1:CV300,96,FALSE)* 90)</f>
      </c>
      <c r="BQ96" s="12159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2160">
        <f>0.0825*HLOOKUP("KP/90",A1:CV300,96,FALSE)</f>
      </c>
      <c r="BS96" s="12161">
        <f>6*HLOOKUP("xG/90",A1:CV300,96,FALSE)+3*HLOOKUP("xA/90",A1:CV300,96,FALSE)</f>
      </c>
      <c r="BT96" s="12162">
        <f>HLOOKUP("xPts/90",A1:CV300,96,FALSE)-(6*0.75*(HLOOKUP("PK Gs",A1:CV300,96,FALSE)+HLOOKUP("PK Miss",A1:CV300,96,FALSE))*90/HLOOKUP("Mins",A1:CV300,96,FALSE))</f>
      </c>
      <c r="BU96" s="12163">
        <f>IF(HLOOKUP("Mins",A1:CV300,96,FALSE)=0,0,HLOOKUP("fsXG",A1:CV300,96,FALSE)/HLOOKUP("Mins",A1:CV300,96,FALSE)* 90)</f>
      </c>
      <c r="BV96" s="12164">
        <f>IF(HLOOKUP("Mins",A1:CV300,96,FALSE)=0,0,HLOOKUP("fsXA",A1:CV300,96,FALSE)/HLOOKUP("Mins",A1:CV300,96,FALSE)* 90)</f>
      </c>
      <c r="BW96" s="12165">
        <f>6*HLOOKUP("fsXG/90",A1:CV300,96,FALSE)+3*HLOOKUP("fsXA/90",A1:CV300,96,FALSE)</f>
      </c>
      <c r="BX96" t="n" s="12166">
        <v>0.006803517229855061</v>
      </c>
      <c r="BY96" t="n" s="12167">
        <v>0.0</v>
      </c>
      <c r="BZ96" s="12168">
        <f>6*HLOOKUP("uXG/90",A1:CV300,96,FALSE)+3*HLOOKUP("uXA/90",A1:CV300,96,FALSE)</f>
      </c>
    </row>
    <row r="97">
      <c r="A97" t="s" s="12169">
        <v>253</v>
      </c>
      <c r="B97" t="s" s="12170">
        <v>94</v>
      </c>
      <c r="C97" t="n" s="12171">
        <v>4.900000095367432</v>
      </c>
      <c r="D97" t="n" s="12172">
        <v>46.0</v>
      </c>
      <c r="E97" t="n" s="12173">
        <v>2.0</v>
      </c>
      <c r="F97" t="n" s="12174">
        <v>3.0</v>
      </c>
      <c r="G97" t="n" s="12175">
        <v>0.0</v>
      </c>
      <c r="H97" t="n" s="12176">
        <v>0.0</v>
      </c>
      <c r="I97" t="n" s="12177">
        <v>9.0</v>
      </c>
      <c r="J97" s="12178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2179">
        <v>0.0</v>
      </c>
      <c r="L97" t="n" s="12180">
        <v>0.0</v>
      </c>
      <c r="M97" t="n" s="12181">
        <v>0.0</v>
      </c>
      <c r="N97" t="n" s="12182">
        <v>0.0</v>
      </c>
      <c r="O97" t="n" s="12183">
        <v>0.0</v>
      </c>
      <c r="P97" s="12184">
        <f>IF(HLOOKUP("Shots",A1:CV300,97,FALSE)=0,0,HLOOKUP("SIB",A1:CV300,97,FALSE)/HLOOKUP("Shots",A1:CV300,97,FALSE))</f>
      </c>
      <c r="Q97" t="n" s="12185">
        <v>0.0</v>
      </c>
      <c r="R97" s="12186">
        <f>IF(HLOOKUP("Shots",A1:CV300,97,FALSE)=0,0,HLOOKUP("S6YD",A1:CV300,97,FALSE)/HLOOKUP("Shots",A1:CV300,97,FALSE))</f>
      </c>
      <c r="S97" t="n" s="12187">
        <v>0.0</v>
      </c>
      <c r="T97" s="12188">
        <f>IF(HLOOKUP("Shots",A1:CV300,97,FALSE)=0,0,HLOOKUP("Headers",A1:CV300,97,FALSE)/HLOOKUP("Shots",A1:CV300,97,FALSE))</f>
      </c>
      <c r="U97" t="n" s="12189">
        <v>0.0</v>
      </c>
      <c r="V97" s="12190">
        <f>IF(HLOOKUP("Shots",A1:CV300,97,FALSE)=0,0,HLOOKUP("SOT",A1:CV300,97,FALSE)/HLOOKUP("Shots",A1:CV300,97,FALSE))</f>
      </c>
      <c r="W97" s="12191">
        <f>IF(HLOOKUP("Shots",A1:CV300,97,FALSE)=0,0,HLOOKUP("Gs",A1:CV300,97,FALSE)/HLOOKUP("Shots",A1:CV300,97,FALSE))</f>
      </c>
      <c r="X97" t="n" s="12192">
        <v>0.0</v>
      </c>
      <c r="Y97" t="n" s="12193">
        <v>0.0</v>
      </c>
      <c r="Z97" t="n" s="12194">
        <v>0.0</v>
      </c>
      <c r="AA97" s="12195">
        <f>IF(HLOOKUP("KP",A1:CV300,97,FALSE)=0,0,HLOOKUP("As",A1:CV300,97,FALSE)/HLOOKUP("KP",A1:CV300,97,FALSE))</f>
      </c>
      <c r="AB97" t="n" s="12196">
        <v>0.3</v>
      </c>
      <c r="AC97" t="n" s="12197">
        <v>0.0</v>
      </c>
      <c r="AD97" t="n" s="12198">
        <v>0.0</v>
      </c>
      <c r="AE97" t="n" s="12199">
        <v>0.0</v>
      </c>
      <c r="AF97" t="n" s="12200">
        <v>0.0</v>
      </c>
      <c r="AG97" s="12201">
        <f>IF(HLOOKUP("BC",A1:CV300,97,FALSE)=0,0,HLOOKUP("Gs - BC",A1:CV300,97,FALSE)/HLOOKUP("BC",A1:CV300,97,FALSE))</f>
      </c>
      <c r="AH97" s="12202">
        <f>HLOOKUP("BC",A1:CV300,97,FALSE) - HLOOKUP("BC Miss",A1:CV300,97,FALSE)</f>
      </c>
      <c r="AI97" s="12203">
        <f>IF(HLOOKUP("Gs",A1:CV300,97,FALSE)=0,0,HLOOKUP("Gs - BC",A1:CV300,97,FALSE)/HLOOKUP("Gs",A1:CV300,97,FALSE))</f>
      </c>
      <c r="AJ97" t="n" s="12204">
        <v>0.0</v>
      </c>
      <c r="AK97" t="n" s="12205">
        <v>0.0</v>
      </c>
      <c r="AL97" s="12206">
        <f>HLOOKUP("BC",A1:CV300,97,FALSE) - (HLOOKUP("PK Gs",A1:CV300,97,FALSE) + HLOOKUP("PK Miss",A1:CV300,97,FALSE))</f>
      </c>
      <c r="AM97" s="12207">
        <f>HLOOKUP("BC Miss",A1:CV300,97,FALSE) - HLOOKUP("PK Miss",A1:CV300,97,FALSE)</f>
      </c>
      <c r="AN97" s="12208">
        <f>IF(HLOOKUP("BC - Open",A1:CV300,97,FALSE)=0,0,HLOOKUP("BC - Open Miss",A1:CV300,97,FALSE)/HLOOKUP("BC - Open",A1:CV300,97,FALSE))</f>
      </c>
      <c r="AO97" t="n" s="12209">
        <v>0.0</v>
      </c>
      <c r="AP97" s="12210">
        <f>IF(HLOOKUP("Gs",A1:CV300,97,FALSE)=0,0,HLOOKUP("GIB",A1:CV300,97,FALSE)/HLOOKUP("Gs",A1:CV300,97,FALSE))</f>
      </c>
      <c r="AQ97" t="n" s="12211">
        <v>0.0</v>
      </c>
      <c r="AR97" s="12212">
        <f>IF(HLOOKUP("Gs",A1:CV300,97,FALSE)=0,0,HLOOKUP("Gs - Open",A1:CV300,97,FALSE)/HLOOKUP("Gs",A1:CV300,97,FALSE))</f>
      </c>
      <c r="AS97" t="n" s="12213">
        <v>0.0</v>
      </c>
      <c r="AT97" t="n" s="12214">
        <v>0.0</v>
      </c>
      <c r="AU97" s="12215">
        <f>IF(HLOOKUP("Mins",A1:CV300,97,FALSE)=0,0,HLOOKUP("Pts",A1:CV300,97,FALSE)/HLOOKUP("Mins",A1:CV300,97,FALSE)* 90)</f>
      </c>
      <c r="AV97" s="12216">
        <f>IF(HLOOKUP("Apps",A1:CV300,97,FALSE)=0,0,HLOOKUP("Pts",A1:CV300,97,FALSE)/HLOOKUP("Apps",A1:CV300,97,FALSE)* 1)</f>
      </c>
      <c r="AW97" s="12217">
        <f>IF(HLOOKUP("Mins",A1:CV300,97,FALSE)=0,0,HLOOKUP("Gs",A1:CV300,97,FALSE)/HLOOKUP("Mins",A1:CV300,97,FALSE)* 90)</f>
      </c>
      <c r="AX97" s="12218">
        <f>IF(HLOOKUP("Mins",A1:CV300,97,FALSE)=0,0,HLOOKUP("Bonus",A1:CV300,97,FALSE)/HLOOKUP("Mins",A1:CV300,97,FALSE)* 90)</f>
      </c>
      <c r="AY97" s="12219">
        <f>IF(HLOOKUP("Mins",A1:CV300,97,FALSE)=0,0,HLOOKUP("BPS",A1:CV300,97,FALSE)/HLOOKUP("Mins",A1:CV300,97,FALSE)* 90)</f>
      </c>
      <c r="AZ97" s="12220">
        <f>IF(HLOOKUP("Mins",A1:CV300,97,FALSE)=0,0,HLOOKUP("Base BPS",A1:CV300,97,FALSE)/HLOOKUP("Mins",A1:CV300,97,FALSE)* 90)</f>
      </c>
      <c r="BA97" s="12221">
        <f>IF(HLOOKUP("Mins",A1:CV300,97,FALSE)=0,0,HLOOKUP("PenTchs",A1:CV300,97,FALSE)/HLOOKUP("Mins",A1:CV300,97,FALSE)* 90)</f>
      </c>
      <c r="BB97" s="12222">
        <f>IF(HLOOKUP("Mins",A1:CV300,97,FALSE)=0,0,HLOOKUP("Shots",A1:CV300,97,FALSE)/HLOOKUP("Mins",A1:CV300,97,FALSE)* 90)</f>
      </c>
      <c r="BC97" s="12223">
        <f>IF(HLOOKUP("Mins",A1:CV300,97,FALSE)=0,0,HLOOKUP("SIB",A1:CV300,97,FALSE)/HLOOKUP("Mins",A1:CV300,97,FALSE)* 90)</f>
      </c>
      <c r="BD97" s="12224">
        <f>IF(HLOOKUP("Mins",A1:CV300,97,FALSE)=0,0,HLOOKUP("S6YD",A1:CV300,97,FALSE)/HLOOKUP("Mins",A1:CV300,97,FALSE)* 90)</f>
      </c>
      <c r="BE97" s="12225">
        <f>IF(HLOOKUP("Mins",A1:CV300,97,FALSE)=0,0,HLOOKUP("Headers",A1:CV300,97,FALSE)/HLOOKUP("Mins",A1:CV300,97,FALSE)* 90)</f>
      </c>
      <c r="BF97" s="12226">
        <f>IF(HLOOKUP("Mins",A1:CV300,97,FALSE)=0,0,HLOOKUP("SOT",A1:CV300,97,FALSE)/HLOOKUP("Mins",A1:CV300,97,FALSE)* 90)</f>
      </c>
      <c r="BG97" s="12227">
        <f>IF(HLOOKUP("Mins",A1:CV300,97,FALSE)=0,0,HLOOKUP("As",A1:CV300,97,FALSE)/HLOOKUP("Mins",A1:CV300,97,FALSE)* 90)</f>
      </c>
      <c r="BH97" s="12228">
        <f>IF(HLOOKUP("Mins",A1:CV300,97,FALSE)=0,0,HLOOKUP("FPL As",A1:CV300,97,FALSE)/HLOOKUP("Mins",A1:CV300,97,FALSE)* 90)</f>
      </c>
      <c r="BI97" s="12229">
        <f>IF(HLOOKUP("Mins",A1:CV300,97,FALSE)=0,0,HLOOKUP("BC Created",A1:CV300,97,FALSE)/HLOOKUP("Mins",A1:CV300,97,FALSE)* 90)</f>
      </c>
      <c r="BJ97" s="12230">
        <f>IF(HLOOKUP("Mins",A1:CV300,97,FALSE)=0,0,HLOOKUP("KP",A1:CV300,97,FALSE)/HLOOKUP("Mins",A1:CV300,97,FALSE)* 90)</f>
      </c>
      <c r="BK97" s="12231">
        <f>IF(HLOOKUP("Mins",A1:CV300,97,FALSE)=0,0,HLOOKUP("BC",A1:CV300,97,FALSE)/HLOOKUP("Mins",A1:CV300,97,FALSE)* 90)</f>
      </c>
      <c r="BL97" s="12232">
        <f>IF(HLOOKUP("Mins",A1:CV300,97,FALSE)=0,0,HLOOKUP("BC Miss",A1:CV300,97,FALSE)/HLOOKUP("Mins",A1:CV300,97,FALSE)* 90)</f>
      </c>
      <c r="BM97" s="12233">
        <f>IF(HLOOKUP("Mins",A1:CV300,97,FALSE)=0,0,HLOOKUP("Gs - BC",A1:CV300,97,FALSE)/HLOOKUP("Mins",A1:CV300,97,FALSE)* 90)</f>
      </c>
      <c r="BN97" s="12234">
        <f>IF(HLOOKUP("Mins",A1:CV300,97,FALSE)=0,0,HLOOKUP("GIB",A1:CV300,97,FALSE)/HLOOKUP("Mins",A1:CV300,97,FALSE)* 90)</f>
      </c>
      <c r="BO97" s="12235">
        <f>IF(HLOOKUP("Mins",A1:CV300,97,FALSE)=0,0,HLOOKUP("Gs - Open",A1:CV300,97,FALSE)/HLOOKUP("Mins",A1:CV300,97,FALSE)* 90)</f>
      </c>
      <c r="BP97" s="12236">
        <f>IF(HLOOKUP("Mins",A1:CV300,97,FALSE)=0,0,HLOOKUP("ICT Index",A1:CV300,97,FALSE)/HLOOKUP("Mins",A1:CV300,97,FALSE)* 90)</f>
      </c>
      <c r="BQ97" s="12237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2238">
        <f>0.0825*HLOOKUP("KP/90",A1:CV300,97,FALSE)</f>
      </c>
      <c r="BS97" s="12239">
        <f>6*HLOOKUP("xG/90",A1:CV300,97,FALSE)+3*HLOOKUP("xA/90",A1:CV300,97,FALSE)</f>
      </c>
      <c r="BT97" s="12240">
        <f>HLOOKUP("xPts/90",A1:CV300,97,FALSE)-(6*0.75*(HLOOKUP("PK Gs",A1:CV300,97,FALSE)+HLOOKUP("PK Miss",A1:CV300,97,FALSE))*90/HLOOKUP("Mins",A1:CV300,97,FALSE))</f>
      </c>
      <c r="BU97" s="12241">
        <f>IF(HLOOKUP("Mins",A1:CV300,97,FALSE)=0,0,HLOOKUP("fsXG",A1:CV300,97,FALSE)/HLOOKUP("Mins",A1:CV300,97,FALSE)* 90)</f>
      </c>
      <c r="BV97" s="12242">
        <f>IF(HLOOKUP("Mins",A1:CV300,97,FALSE)=0,0,HLOOKUP("fsXA",A1:CV300,97,FALSE)/HLOOKUP("Mins",A1:CV300,97,FALSE)* 90)</f>
      </c>
      <c r="BW97" s="12243">
        <f>6*HLOOKUP("fsXG/90",A1:CV300,97,FALSE)+3*HLOOKUP("fsXA/90",A1:CV300,97,FALSE)</f>
      </c>
      <c r="BX97" t="n" s="12244">
        <v>0.0</v>
      </c>
      <c r="BY97" t="n" s="12245">
        <v>0.0</v>
      </c>
      <c r="BZ97" s="12246">
        <f>6*HLOOKUP("uXG/90",A1:CV300,97,FALSE)+3*HLOOKUP("uXA/90",A1:CV300,97,FALSE)</f>
      </c>
    </row>
    <row r="98">
      <c r="A98" t="s" s="12247">
        <v>254</v>
      </c>
      <c r="B98" t="s" s="12248">
        <v>100</v>
      </c>
      <c r="C98" t="n" s="12249">
        <v>4.400000095367432</v>
      </c>
      <c r="D98" t="n" s="12250">
        <v>482.0</v>
      </c>
      <c r="E98" t="n" s="12251">
        <v>6.0</v>
      </c>
      <c r="F98" t="n" s="12252">
        <v>39.0</v>
      </c>
      <c r="G98" t="n" s="12253">
        <v>1.0</v>
      </c>
      <c r="H98" t="n" s="12254">
        <v>1.0</v>
      </c>
      <c r="I98" t="n" s="12255">
        <v>223.0</v>
      </c>
      <c r="J98" s="12256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2257">
        <v>0.0</v>
      </c>
      <c r="L98" t="n" s="12258">
        <v>2.0</v>
      </c>
      <c r="M98" t="n" s="12259">
        <v>6.0</v>
      </c>
      <c r="N98" t="n" s="12260">
        <v>7.0</v>
      </c>
      <c r="O98" t="n" s="12261">
        <v>5.0</v>
      </c>
      <c r="P98" s="12262">
        <f>IF(HLOOKUP("Shots",A1:CV300,98,FALSE)=0,0,HLOOKUP("SIB",A1:CV300,98,FALSE)/HLOOKUP("Shots",A1:CV300,98,FALSE))</f>
      </c>
      <c r="Q98" t="n" s="12263">
        <v>2.0</v>
      </c>
      <c r="R98" s="12264">
        <f>IF(HLOOKUP("Shots",A1:CV300,98,FALSE)=0,0,HLOOKUP("S6YD",A1:CV300,98,FALSE)/HLOOKUP("Shots",A1:CV300,98,FALSE))</f>
      </c>
      <c r="S98" t="n" s="12265">
        <v>5.0</v>
      </c>
      <c r="T98" s="12266">
        <f>IF(HLOOKUP("Shots",A1:CV300,98,FALSE)=0,0,HLOOKUP("Headers",A1:CV300,98,FALSE)/HLOOKUP("Shots",A1:CV300,98,FALSE))</f>
      </c>
      <c r="U98" t="n" s="12267">
        <v>2.0</v>
      </c>
      <c r="V98" s="12268">
        <f>IF(HLOOKUP("Shots",A1:CV300,98,FALSE)=0,0,HLOOKUP("SOT",A1:CV300,98,FALSE)/HLOOKUP("Shots",A1:CV300,98,FALSE))</f>
      </c>
      <c r="W98" s="12269">
        <f>IF(HLOOKUP("Shots",A1:CV300,98,FALSE)=0,0,HLOOKUP("Gs",A1:CV300,98,FALSE)/HLOOKUP("Shots",A1:CV300,98,FALSE))</f>
      </c>
      <c r="X98" t="n" s="12270">
        <v>0.0</v>
      </c>
      <c r="Y98" t="n" s="12271">
        <v>1.0</v>
      </c>
      <c r="Z98" t="n" s="12272">
        <v>3.0</v>
      </c>
      <c r="AA98" s="12273">
        <f>IF(HLOOKUP("KP",A1:CV300,98,FALSE)=0,0,HLOOKUP("As",A1:CV300,98,FALSE)/HLOOKUP("KP",A1:CV300,98,FALSE))</f>
      </c>
      <c r="AB98" t="n" s="12274">
        <v>25.1</v>
      </c>
      <c r="AC98" t="n" s="12275">
        <v>12.0</v>
      </c>
      <c r="AD98" t="n" s="12276">
        <v>0.0</v>
      </c>
      <c r="AE98" t="n" s="12277">
        <v>2.0</v>
      </c>
      <c r="AF98" t="n" s="12278">
        <v>1.0</v>
      </c>
      <c r="AG98" s="12279">
        <f>IF(HLOOKUP("BC",A1:CV300,98,FALSE)=0,0,HLOOKUP("Gs - BC",A1:CV300,98,FALSE)/HLOOKUP("BC",A1:CV300,98,FALSE))</f>
      </c>
      <c r="AH98" s="12280">
        <f>HLOOKUP("BC",A1:CV300,98,FALSE) - HLOOKUP("BC Miss",A1:CV300,98,FALSE)</f>
      </c>
      <c r="AI98" s="12281">
        <f>IF(HLOOKUP("Gs",A1:CV300,98,FALSE)=0,0,HLOOKUP("Gs - BC",A1:CV300,98,FALSE)/HLOOKUP("Gs",A1:CV300,98,FALSE))</f>
      </c>
      <c r="AJ98" t="n" s="12282">
        <v>0.0</v>
      </c>
      <c r="AK98" t="n" s="12283">
        <v>0.0</v>
      </c>
      <c r="AL98" s="12284">
        <f>HLOOKUP("BC",A1:CV300,98,FALSE) - (HLOOKUP("PK Gs",A1:CV300,98,FALSE) + HLOOKUP("PK Miss",A1:CV300,98,FALSE))</f>
      </c>
      <c r="AM98" s="12285">
        <f>HLOOKUP("BC Miss",A1:CV300,98,FALSE) - HLOOKUP("PK Miss",A1:CV300,98,FALSE)</f>
      </c>
      <c r="AN98" s="12286">
        <f>IF(HLOOKUP("BC - Open",A1:CV300,98,FALSE)=0,0,HLOOKUP("BC - Open Miss",A1:CV300,98,FALSE)/HLOOKUP("BC - Open",A1:CV300,98,FALSE))</f>
      </c>
      <c r="AO98" t="n" s="12287">
        <v>1.0</v>
      </c>
      <c r="AP98" s="12288">
        <f>IF(HLOOKUP("Gs",A1:CV300,98,FALSE)=0,0,HLOOKUP("GIB",A1:CV300,98,FALSE)/HLOOKUP("Gs",A1:CV300,98,FALSE))</f>
      </c>
      <c r="AQ98" t="n" s="12289">
        <v>0.0</v>
      </c>
      <c r="AR98" s="12290">
        <f>IF(HLOOKUP("Gs",A1:CV300,98,FALSE)=0,0,HLOOKUP("Gs - Open",A1:CV300,98,FALSE)/HLOOKUP("Gs",A1:CV300,98,FALSE))</f>
      </c>
      <c r="AS98" t="n" s="12291">
        <v>0.85</v>
      </c>
      <c r="AT98" t="n" s="12292">
        <v>0.11</v>
      </c>
      <c r="AU98" s="12293">
        <f>IF(HLOOKUP("Mins",A1:CV300,98,FALSE)=0,0,HLOOKUP("Pts",A1:CV300,98,FALSE)/HLOOKUP("Mins",A1:CV300,98,FALSE)* 90)</f>
      </c>
      <c r="AV98" s="12294">
        <f>IF(HLOOKUP("Apps",A1:CV300,98,FALSE)=0,0,HLOOKUP("Pts",A1:CV300,98,FALSE)/HLOOKUP("Apps",A1:CV300,98,FALSE)* 1)</f>
      </c>
      <c r="AW98" s="12295">
        <f>IF(HLOOKUP("Mins",A1:CV300,98,FALSE)=0,0,HLOOKUP("Gs",A1:CV300,98,FALSE)/HLOOKUP("Mins",A1:CV300,98,FALSE)* 90)</f>
      </c>
      <c r="AX98" s="12296">
        <f>IF(HLOOKUP("Mins",A1:CV300,98,FALSE)=0,0,HLOOKUP("Bonus",A1:CV300,98,FALSE)/HLOOKUP("Mins",A1:CV300,98,FALSE)* 90)</f>
      </c>
      <c r="AY98" s="12297">
        <f>IF(HLOOKUP("Mins",A1:CV300,98,FALSE)=0,0,HLOOKUP("BPS",A1:CV300,98,FALSE)/HLOOKUP("Mins",A1:CV300,98,FALSE)* 90)</f>
      </c>
      <c r="AZ98" s="12298">
        <f>IF(HLOOKUP("Mins",A1:CV300,98,FALSE)=0,0,HLOOKUP("Base BPS",A1:CV300,98,FALSE)/HLOOKUP("Mins",A1:CV300,98,FALSE)* 90)</f>
      </c>
      <c r="BA98" s="12299">
        <f>IF(HLOOKUP("Mins",A1:CV300,98,FALSE)=0,0,HLOOKUP("PenTchs",A1:CV300,98,FALSE)/HLOOKUP("Mins",A1:CV300,98,FALSE)* 90)</f>
      </c>
      <c r="BB98" s="12300">
        <f>IF(HLOOKUP("Mins",A1:CV300,98,FALSE)=0,0,HLOOKUP("Shots",A1:CV300,98,FALSE)/HLOOKUP("Mins",A1:CV300,98,FALSE)* 90)</f>
      </c>
      <c r="BC98" s="12301">
        <f>IF(HLOOKUP("Mins",A1:CV300,98,FALSE)=0,0,HLOOKUP("SIB",A1:CV300,98,FALSE)/HLOOKUP("Mins",A1:CV300,98,FALSE)* 90)</f>
      </c>
      <c r="BD98" s="12302">
        <f>IF(HLOOKUP("Mins",A1:CV300,98,FALSE)=0,0,HLOOKUP("S6YD",A1:CV300,98,FALSE)/HLOOKUP("Mins",A1:CV300,98,FALSE)* 90)</f>
      </c>
      <c r="BE98" s="12303">
        <f>IF(HLOOKUP("Mins",A1:CV300,98,FALSE)=0,0,HLOOKUP("Headers",A1:CV300,98,FALSE)/HLOOKUP("Mins",A1:CV300,98,FALSE)* 90)</f>
      </c>
      <c r="BF98" s="12304">
        <f>IF(HLOOKUP("Mins",A1:CV300,98,FALSE)=0,0,HLOOKUP("SOT",A1:CV300,98,FALSE)/HLOOKUP("Mins",A1:CV300,98,FALSE)* 90)</f>
      </c>
      <c r="BG98" s="12305">
        <f>IF(HLOOKUP("Mins",A1:CV300,98,FALSE)=0,0,HLOOKUP("As",A1:CV300,98,FALSE)/HLOOKUP("Mins",A1:CV300,98,FALSE)* 90)</f>
      </c>
      <c r="BH98" s="12306">
        <f>IF(HLOOKUP("Mins",A1:CV300,98,FALSE)=0,0,HLOOKUP("FPL As",A1:CV300,98,FALSE)/HLOOKUP("Mins",A1:CV300,98,FALSE)* 90)</f>
      </c>
      <c r="BI98" s="12307">
        <f>IF(HLOOKUP("Mins",A1:CV300,98,FALSE)=0,0,HLOOKUP("BC Created",A1:CV300,98,FALSE)/HLOOKUP("Mins",A1:CV300,98,FALSE)* 90)</f>
      </c>
      <c r="BJ98" s="12308">
        <f>IF(HLOOKUP("Mins",A1:CV300,98,FALSE)=0,0,HLOOKUP("KP",A1:CV300,98,FALSE)/HLOOKUP("Mins",A1:CV300,98,FALSE)* 90)</f>
      </c>
      <c r="BK98" s="12309">
        <f>IF(HLOOKUP("Mins",A1:CV300,98,FALSE)=0,0,HLOOKUP("BC",A1:CV300,98,FALSE)/HLOOKUP("Mins",A1:CV300,98,FALSE)* 90)</f>
      </c>
      <c r="BL98" s="12310">
        <f>IF(HLOOKUP("Mins",A1:CV300,98,FALSE)=0,0,HLOOKUP("BC Miss",A1:CV300,98,FALSE)/HLOOKUP("Mins",A1:CV300,98,FALSE)* 90)</f>
      </c>
      <c r="BM98" s="12311">
        <f>IF(HLOOKUP("Mins",A1:CV300,98,FALSE)=0,0,HLOOKUP("Gs - BC",A1:CV300,98,FALSE)/HLOOKUP("Mins",A1:CV300,98,FALSE)* 90)</f>
      </c>
      <c r="BN98" s="12312">
        <f>IF(HLOOKUP("Mins",A1:CV300,98,FALSE)=0,0,HLOOKUP("GIB",A1:CV300,98,FALSE)/HLOOKUP("Mins",A1:CV300,98,FALSE)* 90)</f>
      </c>
      <c r="BO98" s="12313">
        <f>IF(HLOOKUP("Mins",A1:CV300,98,FALSE)=0,0,HLOOKUP("Gs - Open",A1:CV300,98,FALSE)/HLOOKUP("Mins",A1:CV300,98,FALSE)* 90)</f>
      </c>
      <c r="BP98" s="12314">
        <f>IF(HLOOKUP("Mins",A1:CV300,98,FALSE)=0,0,HLOOKUP("ICT Index",A1:CV300,98,FALSE)/HLOOKUP("Mins",A1:CV300,98,FALSE)* 90)</f>
      </c>
      <c r="BQ98" s="12315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2316">
        <f>0.0825*HLOOKUP("KP/90",A1:CV300,98,FALSE)</f>
      </c>
      <c r="BS98" s="12317">
        <f>6*HLOOKUP("xG/90",A1:CV300,98,FALSE)+3*HLOOKUP("xA/90",A1:CV300,98,FALSE)</f>
      </c>
      <c r="BT98" s="12318">
        <f>HLOOKUP("xPts/90",A1:CV300,98,FALSE)-(6*0.75*(HLOOKUP("PK Gs",A1:CV300,98,FALSE)+HLOOKUP("PK Miss",A1:CV300,98,FALSE))*90/HLOOKUP("Mins",A1:CV300,98,FALSE))</f>
      </c>
      <c r="BU98" s="12319">
        <f>IF(HLOOKUP("Mins",A1:CV300,98,FALSE)=0,0,HLOOKUP("fsXG",A1:CV300,98,FALSE)/HLOOKUP("Mins",A1:CV300,98,FALSE)* 90)</f>
      </c>
      <c r="BV98" s="12320">
        <f>IF(HLOOKUP("Mins",A1:CV300,98,FALSE)=0,0,HLOOKUP("fsXA",A1:CV300,98,FALSE)/HLOOKUP("Mins",A1:CV300,98,FALSE)* 90)</f>
      </c>
      <c r="BW98" s="12321">
        <f>6*HLOOKUP("fsXG/90",A1:CV300,98,FALSE)+3*HLOOKUP("fsXA/90",A1:CV300,98,FALSE)</f>
      </c>
      <c r="BX98" t="n" s="12322">
        <v>0.20005705952644348</v>
      </c>
      <c r="BY98" t="n" s="12323">
        <v>0.02019357681274414</v>
      </c>
      <c r="BZ98" s="12324">
        <f>6*HLOOKUP("uXG/90",A1:CV300,98,FALSE)+3*HLOOKUP("uXA/90",A1:CV300,98,FALSE)</f>
      </c>
    </row>
    <row r="99">
      <c r="A99" t="s" s="12325">
        <v>255</v>
      </c>
      <c r="B99" t="s" s="12326">
        <v>109</v>
      </c>
      <c r="C99" t="n" s="12327">
        <v>4.400000095367432</v>
      </c>
      <c r="D99" t="n" s="12328">
        <v>388.0</v>
      </c>
      <c r="E99" t="n" s="12329">
        <v>5.0</v>
      </c>
      <c r="F99" t="n" s="12330">
        <v>52.0</v>
      </c>
      <c r="G99" t="n" s="12331">
        <v>0.0</v>
      </c>
      <c r="H99" t="n" s="12332">
        <v>3.0</v>
      </c>
      <c r="I99" t="n" s="12333">
        <v>248.0</v>
      </c>
      <c r="J99" s="12334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2335">
        <v>0.0</v>
      </c>
      <c r="L99" t="n" s="12336">
        <v>5.0</v>
      </c>
      <c r="M99" t="n" s="12337">
        <v>14.0</v>
      </c>
      <c r="N99" t="n" s="12338">
        <v>3.0</v>
      </c>
      <c r="O99" t="n" s="12339">
        <v>3.0</v>
      </c>
      <c r="P99" s="12340">
        <f>IF(HLOOKUP("Shots",A1:CV300,99,FALSE)=0,0,HLOOKUP("SIB",A1:CV300,99,FALSE)/HLOOKUP("Shots",A1:CV300,99,FALSE))</f>
      </c>
      <c r="Q99" t="n" s="12341">
        <v>1.0</v>
      </c>
      <c r="R99" s="12342">
        <f>IF(HLOOKUP("Shots",A1:CV300,99,FALSE)=0,0,HLOOKUP("S6YD",A1:CV300,99,FALSE)/HLOOKUP("Shots",A1:CV300,99,FALSE))</f>
      </c>
      <c r="S99" t="n" s="12343">
        <v>0.0</v>
      </c>
      <c r="T99" s="12344">
        <f>IF(HLOOKUP("Shots",A1:CV300,99,FALSE)=0,0,HLOOKUP("Headers",A1:CV300,99,FALSE)/HLOOKUP("Shots",A1:CV300,99,FALSE))</f>
      </c>
      <c r="U99" t="n" s="12345">
        <v>2.0</v>
      </c>
      <c r="V99" s="12346">
        <f>IF(HLOOKUP("Shots",A1:CV300,99,FALSE)=0,0,HLOOKUP("SOT",A1:CV300,99,FALSE)/HLOOKUP("Shots",A1:CV300,99,FALSE))</f>
      </c>
      <c r="W99" s="12347">
        <f>IF(HLOOKUP("Shots",A1:CV300,99,FALSE)=0,0,HLOOKUP("Gs",A1:CV300,99,FALSE)/HLOOKUP("Shots",A1:CV300,99,FALSE))</f>
      </c>
      <c r="X99" t="n" s="12348">
        <v>0.0</v>
      </c>
      <c r="Y99" t="n" s="12349">
        <v>1.0</v>
      </c>
      <c r="Z99" t="n" s="12350">
        <v>5.0</v>
      </c>
      <c r="AA99" s="12351">
        <f>IF(HLOOKUP("KP",A1:CV300,99,FALSE)=0,0,HLOOKUP("As",A1:CV300,99,FALSE)/HLOOKUP("KP",A1:CV300,99,FALSE))</f>
      </c>
      <c r="AB99" t="n" s="12352">
        <v>21.9</v>
      </c>
      <c r="AC99" t="n" s="12353">
        <v>0.0</v>
      </c>
      <c r="AD99" t="n" s="12354">
        <v>0.0</v>
      </c>
      <c r="AE99" t="n" s="12355">
        <v>1.0</v>
      </c>
      <c r="AF99" t="n" s="12356">
        <v>1.0</v>
      </c>
      <c r="AG99" s="12357">
        <f>IF(HLOOKUP("BC",A1:CV300,99,FALSE)=0,0,HLOOKUP("Gs - BC",A1:CV300,99,FALSE)/HLOOKUP("BC",A1:CV300,99,FALSE))</f>
      </c>
      <c r="AH99" s="12358">
        <f>HLOOKUP("BC",A1:CV300,99,FALSE) - HLOOKUP("BC Miss",A1:CV300,99,FALSE)</f>
      </c>
      <c r="AI99" s="12359">
        <f>IF(HLOOKUP("Gs",A1:CV300,99,FALSE)=0,0,HLOOKUP("Gs - BC",A1:CV300,99,FALSE)/HLOOKUP("Gs",A1:CV300,99,FALSE))</f>
      </c>
      <c r="AJ99" t="n" s="12360">
        <v>0.0</v>
      </c>
      <c r="AK99" t="n" s="12361">
        <v>0.0</v>
      </c>
      <c r="AL99" s="12362">
        <f>HLOOKUP("BC",A1:CV300,99,FALSE) - (HLOOKUP("PK Gs",A1:CV300,99,FALSE) + HLOOKUP("PK Miss",A1:CV300,99,FALSE))</f>
      </c>
      <c r="AM99" s="12363">
        <f>HLOOKUP("BC Miss",A1:CV300,99,FALSE) - HLOOKUP("PK Miss",A1:CV300,99,FALSE)</f>
      </c>
      <c r="AN99" s="12364">
        <f>IF(HLOOKUP("BC - Open",A1:CV300,99,FALSE)=0,0,HLOOKUP("BC - Open Miss",A1:CV300,99,FALSE)/HLOOKUP("BC - Open",A1:CV300,99,FALSE))</f>
      </c>
      <c r="AO99" t="n" s="12365">
        <v>0.0</v>
      </c>
      <c r="AP99" s="12366">
        <f>IF(HLOOKUP("Gs",A1:CV300,99,FALSE)=0,0,HLOOKUP("GIB",A1:CV300,99,FALSE)/HLOOKUP("Gs",A1:CV300,99,FALSE))</f>
      </c>
      <c r="AQ99" t="n" s="12367">
        <v>0.0</v>
      </c>
      <c r="AR99" s="12368">
        <f>IF(HLOOKUP("Gs",A1:CV300,99,FALSE)=0,0,HLOOKUP("Gs - Open",A1:CV300,99,FALSE)/HLOOKUP("Gs",A1:CV300,99,FALSE))</f>
      </c>
      <c r="AS99" t="n" s="12369">
        <v>0.99</v>
      </c>
      <c r="AT99" t="n" s="12370">
        <v>0.32</v>
      </c>
      <c r="AU99" s="12371">
        <f>IF(HLOOKUP("Mins",A1:CV300,99,FALSE)=0,0,HLOOKUP("Pts",A1:CV300,99,FALSE)/HLOOKUP("Mins",A1:CV300,99,FALSE)* 90)</f>
      </c>
      <c r="AV99" s="12372">
        <f>IF(HLOOKUP("Apps",A1:CV300,99,FALSE)=0,0,HLOOKUP("Pts",A1:CV300,99,FALSE)/HLOOKUP("Apps",A1:CV300,99,FALSE)* 1)</f>
      </c>
      <c r="AW99" s="12373">
        <f>IF(HLOOKUP("Mins",A1:CV300,99,FALSE)=0,0,HLOOKUP("Gs",A1:CV300,99,FALSE)/HLOOKUP("Mins",A1:CV300,99,FALSE)* 90)</f>
      </c>
      <c r="AX99" s="12374">
        <f>IF(HLOOKUP("Mins",A1:CV300,99,FALSE)=0,0,HLOOKUP("Bonus",A1:CV300,99,FALSE)/HLOOKUP("Mins",A1:CV300,99,FALSE)* 90)</f>
      </c>
      <c r="AY99" s="12375">
        <f>IF(HLOOKUP("Mins",A1:CV300,99,FALSE)=0,0,HLOOKUP("BPS",A1:CV300,99,FALSE)/HLOOKUP("Mins",A1:CV300,99,FALSE)* 90)</f>
      </c>
      <c r="AZ99" s="12376">
        <f>IF(HLOOKUP("Mins",A1:CV300,99,FALSE)=0,0,HLOOKUP("Base BPS",A1:CV300,99,FALSE)/HLOOKUP("Mins",A1:CV300,99,FALSE)* 90)</f>
      </c>
      <c r="BA99" s="12377">
        <f>IF(HLOOKUP("Mins",A1:CV300,99,FALSE)=0,0,HLOOKUP("PenTchs",A1:CV300,99,FALSE)/HLOOKUP("Mins",A1:CV300,99,FALSE)* 90)</f>
      </c>
      <c r="BB99" s="12378">
        <f>IF(HLOOKUP("Mins",A1:CV300,99,FALSE)=0,0,HLOOKUP("Shots",A1:CV300,99,FALSE)/HLOOKUP("Mins",A1:CV300,99,FALSE)* 90)</f>
      </c>
      <c r="BC99" s="12379">
        <f>IF(HLOOKUP("Mins",A1:CV300,99,FALSE)=0,0,HLOOKUP("SIB",A1:CV300,99,FALSE)/HLOOKUP("Mins",A1:CV300,99,FALSE)* 90)</f>
      </c>
      <c r="BD99" s="12380">
        <f>IF(HLOOKUP("Mins",A1:CV300,99,FALSE)=0,0,HLOOKUP("S6YD",A1:CV300,99,FALSE)/HLOOKUP("Mins",A1:CV300,99,FALSE)* 90)</f>
      </c>
      <c r="BE99" s="12381">
        <f>IF(HLOOKUP("Mins",A1:CV300,99,FALSE)=0,0,HLOOKUP("Headers",A1:CV300,99,FALSE)/HLOOKUP("Mins",A1:CV300,99,FALSE)* 90)</f>
      </c>
      <c r="BF99" s="12382">
        <f>IF(HLOOKUP("Mins",A1:CV300,99,FALSE)=0,0,HLOOKUP("SOT",A1:CV300,99,FALSE)/HLOOKUP("Mins",A1:CV300,99,FALSE)* 90)</f>
      </c>
      <c r="BG99" s="12383">
        <f>IF(HLOOKUP("Mins",A1:CV300,99,FALSE)=0,0,HLOOKUP("As",A1:CV300,99,FALSE)/HLOOKUP("Mins",A1:CV300,99,FALSE)* 90)</f>
      </c>
      <c r="BH99" s="12384">
        <f>IF(HLOOKUP("Mins",A1:CV300,99,FALSE)=0,0,HLOOKUP("FPL As",A1:CV300,99,FALSE)/HLOOKUP("Mins",A1:CV300,99,FALSE)* 90)</f>
      </c>
      <c r="BI99" s="12385">
        <f>IF(HLOOKUP("Mins",A1:CV300,99,FALSE)=0,0,HLOOKUP("BC Created",A1:CV300,99,FALSE)/HLOOKUP("Mins",A1:CV300,99,FALSE)* 90)</f>
      </c>
      <c r="BJ99" s="12386">
        <f>IF(HLOOKUP("Mins",A1:CV300,99,FALSE)=0,0,HLOOKUP("KP",A1:CV300,99,FALSE)/HLOOKUP("Mins",A1:CV300,99,FALSE)* 90)</f>
      </c>
      <c r="BK99" s="12387">
        <f>IF(HLOOKUP("Mins",A1:CV300,99,FALSE)=0,0,HLOOKUP("BC",A1:CV300,99,FALSE)/HLOOKUP("Mins",A1:CV300,99,FALSE)* 90)</f>
      </c>
      <c r="BL99" s="12388">
        <f>IF(HLOOKUP("Mins",A1:CV300,99,FALSE)=0,0,HLOOKUP("BC Miss",A1:CV300,99,FALSE)/HLOOKUP("Mins",A1:CV300,99,FALSE)* 90)</f>
      </c>
      <c r="BM99" s="12389">
        <f>IF(HLOOKUP("Mins",A1:CV300,99,FALSE)=0,0,HLOOKUP("Gs - BC",A1:CV300,99,FALSE)/HLOOKUP("Mins",A1:CV300,99,FALSE)* 90)</f>
      </c>
      <c r="BN99" s="12390">
        <f>IF(HLOOKUP("Mins",A1:CV300,99,FALSE)=0,0,HLOOKUP("GIB",A1:CV300,99,FALSE)/HLOOKUP("Mins",A1:CV300,99,FALSE)* 90)</f>
      </c>
      <c r="BO99" s="12391">
        <f>IF(HLOOKUP("Mins",A1:CV300,99,FALSE)=0,0,HLOOKUP("Gs - Open",A1:CV300,99,FALSE)/HLOOKUP("Mins",A1:CV300,99,FALSE)* 90)</f>
      </c>
      <c r="BP99" s="12392">
        <f>IF(HLOOKUP("Mins",A1:CV300,99,FALSE)=0,0,HLOOKUP("ICT Index",A1:CV300,99,FALSE)/HLOOKUP("Mins",A1:CV300,99,FALSE)* 90)</f>
      </c>
      <c r="BQ99" s="12393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2394">
        <f>0.0825*HLOOKUP("KP/90",A1:CV300,99,FALSE)</f>
      </c>
      <c r="BS99" s="12395">
        <f>6*HLOOKUP("xG/90",A1:CV300,99,FALSE)+3*HLOOKUP("xA/90",A1:CV300,99,FALSE)</f>
      </c>
      <c r="BT99" s="12396">
        <f>HLOOKUP("xPts/90",A1:CV300,99,FALSE)-(6*0.75*(HLOOKUP("PK Gs",A1:CV300,99,FALSE)+HLOOKUP("PK Miss",A1:CV300,99,FALSE))*90/HLOOKUP("Mins",A1:CV300,99,FALSE))</f>
      </c>
      <c r="BU99" s="12397">
        <f>IF(HLOOKUP("Mins",A1:CV300,99,FALSE)=0,0,HLOOKUP("fsXG",A1:CV300,99,FALSE)/HLOOKUP("Mins",A1:CV300,99,FALSE)* 90)</f>
      </c>
      <c r="BV99" s="12398">
        <f>IF(HLOOKUP("Mins",A1:CV300,99,FALSE)=0,0,HLOOKUP("fsXA",A1:CV300,99,FALSE)/HLOOKUP("Mins",A1:CV300,99,FALSE)* 90)</f>
      </c>
      <c r="BW99" s="12399">
        <f>6*HLOOKUP("fsXG/90",A1:CV300,99,FALSE)+3*HLOOKUP("fsXA/90",A1:CV300,99,FALSE)</f>
      </c>
      <c r="BX99" t="n" s="12400">
        <v>0.20714586973190308</v>
      </c>
      <c r="BY99" t="n" s="12401">
        <v>0.05827648192644119</v>
      </c>
      <c r="BZ99" s="12402">
        <f>6*HLOOKUP("uXG/90",A1:CV300,99,FALSE)+3*HLOOKUP("uXA/90",A1:CV300,99,FALSE)</f>
      </c>
    </row>
    <row r="100">
      <c r="A100" t="s" s="12403">
        <v>256</v>
      </c>
      <c r="B100" t="s" s="12404">
        <v>85</v>
      </c>
      <c r="C100" t="n" s="12405">
        <v>5.099999904632568</v>
      </c>
      <c r="D100" t="n" s="12406">
        <v>540.0</v>
      </c>
      <c r="E100" t="n" s="12407">
        <v>6.0</v>
      </c>
      <c r="F100" t="n" s="12408">
        <v>97.0</v>
      </c>
      <c r="G100" t="n" s="12409">
        <v>0.0</v>
      </c>
      <c r="H100" t="n" s="12410">
        <v>7.0</v>
      </c>
      <c r="I100" t="n" s="12411">
        <v>365.0</v>
      </c>
      <c r="J100" s="12412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2413">
        <v>0.0</v>
      </c>
      <c r="L100" t="n" s="12414">
        <v>8.0</v>
      </c>
      <c r="M100" t="n" s="12415">
        <v>9.0</v>
      </c>
      <c r="N100" t="n" s="12416">
        <v>1.0</v>
      </c>
      <c r="O100" t="n" s="12417">
        <v>1.0</v>
      </c>
      <c r="P100" s="12418">
        <f>IF(HLOOKUP("Shots",A1:CV300,100,FALSE)=0,0,HLOOKUP("SIB",A1:CV300,100,FALSE)/HLOOKUP("Shots",A1:CV300,100,FALSE))</f>
      </c>
      <c r="Q100" t="n" s="12419">
        <v>0.0</v>
      </c>
      <c r="R100" s="12420">
        <f>IF(HLOOKUP("Shots",A1:CV300,100,FALSE)=0,0,HLOOKUP("S6YD",A1:CV300,100,FALSE)/HLOOKUP("Shots",A1:CV300,100,FALSE))</f>
      </c>
      <c r="S100" t="n" s="12421">
        <v>0.0</v>
      </c>
      <c r="T100" s="12422">
        <f>IF(HLOOKUP("Shots",A1:CV300,100,FALSE)=0,0,HLOOKUP("Headers",A1:CV300,100,FALSE)/HLOOKUP("Shots",A1:CV300,100,FALSE))</f>
      </c>
      <c r="U100" t="n" s="12423">
        <v>0.0</v>
      </c>
      <c r="V100" s="12424">
        <f>IF(HLOOKUP("Shots",A1:CV300,100,FALSE)=0,0,HLOOKUP("SOT",A1:CV300,100,FALSE)/HLOOKUP("Shots",A1:CV300,100,FALSE))</f>
      </c>
      <c r="W100" s="12425">
        <f>IF(HLOOKUP("Shots",A1:CV300,100,FALSE)=0,0,HLOOKUP("Gs",A1:CV300,100,FALSE)/HLOOKUP("Shots",A1:CV300,100,FALSE))</f>
      </c>
      <c r="X100" t="n" s="12426">
        <v>0.0</v>
      </c>
      <c r="Y100" t="n" s="12427">
        <v>4.0</v>
      </c>
      <c r="Z100" t="n" s="12428">
        <v>3.0</v>
      </c>
      <c r="AA100" s="12429">
        <f>IF(HLOOKUP("KP",A1:CV300,100,FALSE)=0,0,HLOOKUP("As",A1:CV300,100,FALSE)/HLOOKUP("KP",A1:CV300,100,FALSE))</f>
      </c>
      <c r="AB100" t="n" s="12430">
        <v>14.9</v>
      </c>
      <c r="AC100" t="n" s="12431">
        <v>20.0</v>
      </c>
      <c r="AD100" t="n" s="12432">
        <v>0.0</v>
      </c>
      <c r="AE100" t="n" s="12433">
        <v>0.0</v>
      </c>
      <c r="AF100" t="n" s="12434">
        <v>0.0</v>
      </c>
      <c r="AG100" s="12435">
        <f>IF(HLOOKUP("BC",A1:CV300,100,FALSE)=0,0,HLOOKUP("Gs - BC",A1:CV300,100,FALSE)/HLOOKUP("BC",A1:CV300,100,FALSE))</f>
      </c>
      <c r="AH100" s="12436">
        <f>HLOOKUP("BC",A1:CV300,100,FALSE) - HLOOKUP("BC Miss",A1:CV300,100,FALSE)</f>
      </c>
      <c r="AI100" s="12437">
        <f>IF(HLOOKUP("Gs",A1:CV300,100,FALSE)=0,0,HLOOKUP("Gs - BC",A1:CV300,100,FALSE)/HLOOKUP("Gs",A1:CV300,100,FALSE))</f>
      </c>
      <c r="AJ100" t="n" s="12438">
        <v>0.0</v>
      </c>
      <c r="AK100" t="n" s="12439">
        <v>0.0</v>
      </c>
      <c r="AL100" s="12440">
        <f>HLOOKUP("BC",A1:CV300,100,FALSE) - (HLOOKUP("PK Gs",A1:CV300,100,FALSE) + HLOOKUP("PK Miss",A1:CV300,100,FALSE))</f>
      </c>
      <c r="AM100" s="12441">
        <f>HLOOKUP("BC Miss",A1:CV300,100,FALSE) - HLOOKUP("PK Miss",A1:CV300,100,FALSE)</f>
      </c>
      <c r="AN100" s="12442">
        <f>IF(HLOOKUP("BC - Open",A1:CV300,100,FALSE)=0,0,HLOOKUP("BC - Open Miss",A1:CV300,100,FALSE)/HLOOKUP("BC - Open",A1:CV300,100,FALSE))</f>
      </c>
      <c r="AO100" t="n" s="12443">
        <v>0.0</v>
      </c>
      <c r="AP100" s="12444">
        <f>IF(HLOOKUP("Gs",A1:CV300,100,FALSE)=0,0,HLOOKUP("GIB",A1:CV300,100,FALSE)/HLOOKUP("Gs",A1:CV300,100,FALSE))</f>
      </c>
      <c r="AQ100" t="n" s="12445">
        <v>0.0</v>
      </c>
      <c r="AR100" s="12446">
        <f>IF(HLOOKUP("Gs",A1:CV300,100,FALSE)=0,0,HLOOKUP("Gs - Open",A1:CV300,100,FALSE)/HLOOKUP("Gs",A1:CV300,100,FALSE))</f>
      </c>
      <c r="AS100" t="n" s="12447">
        <v>0.07</v>
      </c>
      <c r="AT100" t="n" s="12448">
        <v>0.17</v>
      </c>
      <c r="AU100" s="12449">
        <f>IF(HLOOKUP("Mins",A1:CV300,100,FALSE)=0,0,HLOOKUP("Pts",A1:CV300,100,FALSE)/HLOOKUP("Mins",A1:CV300,100,FALSE)* 90)</f>
      </c>
      <c r="AV100" s="12450">
        <f>IF(HLOOKUP("Apps",A1:CV300,100,FALSE)=0,0,HLOOKUP("Pts",A1:CV300,100,FALSE)/HLOOKUP("Apps",A1:CV300,100,FALSE)* 1)</f>
      </c>
      <c r="AW100" s="12451">
        <f>IF(HLOOKUP("Mins",A1:CV300,100,FALSE)=0,0,HLOOKUP("Gs",A1:CV300,100,FALSE)/HLOOKUP("Mins",A1:CV300,100,FALSE)* 90)</f>
      </c>
      <c r="AX100" s="12452">
        <f>IF(HLOOKUP("Mins",A1:CV300,100,FALSE)=0,0,HLOOKUP("Bonus",A1:CV300,100,FALSE)/HLOOKUP("Mins",A1:CV300,100,FALSE)* 90)</f>
      </c>
      <c r="AY100" s="12453">
        <f>IF(HLOOKUP("Mins",A1:CV300,100,FALSE)=0,0,HLOOKUP("BPS",A1:CV300,100,FALSE)/HLOOKUP("Mins",A1:CV300,100,FALSE)* 90)</f>
      </c>
      <c r="AZ100" s="12454">
        <f>IF(HLOOKUP("Mins",A1:CV300,100,FALSE)=0,0,HLOOKUP("Base BPS",A1:CV300,100,FALSE)/HLOOKUP("Mins",A1:CV300,100,FALSE)* 90)</f>
      </c>
      <c r="BA100" s="12455">
        <f>IF(HLOOKUP("Mins",A1:CV300,100,FALSE)=0,0,HLOOKUP("PenTchs",A1:CV300,100,FALSE)/HLOOKUP("Mins",A1:CV300,100,FALSE)* 90)</f>
      </c>
      <c r="BB100" s="12456">
        <f>IF(HLOOKUP("Mins",A1:CV300,100,FALSE)=0,0,HLOOKUP("Shots",A1:CV300,100,FALSE)/HLOOKUP("Mins",A1:CV300,100,FALSE)* 90)</f>
      </c>
      <c r="BC100" s="12457">
        <f>IF(HLOOKUP("Mins",A1:CV300,100,FALSE)=0,0,HLOOKUP("SIB",A1:CV300,100,FALSE)/HLOOKUP("Mins",A1:CV300,100,FALSE)* 90)</f>
      </c>
      <c r="BD100" s="12458">
        <f>IF(HLOOKUP("Mins",A1:CV300,100,FALSE)=0,0,HLOOKUP("S6YD",A1:CV300,100,FALSE)/HLOOKUP("Mins",A1:CV300,100,FALSE)* 90)</f>
      </c>
      <c r="BE100" s="12459">
        <f>IF(HLOOKUP("Mins",A1:CV300,100,FALSE)=0,0,HLOOKUP("Headers",A1:CV300,100,FALSE)/HLOOKUP("Mins",A1:CV300,100,FALSE)* 90)</f>
      </c>
      <c r="BF100" s="12460">
        <f>IF(HLOOKUP("Mins",A1:CV300,100,FALSE)=0,0,HLOOKUP("SOT",A1:CV300,100,FALSE)/HLOOKUP("Mins",A1:CV300,100,FALSE)* 90)</f>
      </c>
      <c r="BG100" s="12461">
        <f>IF(HLOOKUP("Mins",A1:CV300,100,FALSE)=0,0,HLOOKUP("As",A1:CV300,100,FALSE)/HLOOKUP("Mins",A1:CV300,100,FALSE)* 90)</f>
      </c>
      <c r="BH100" s="12462">
        <f>IF(HLOOKUP("Mins",A1:CV300,100,FALSE)=0,0,HLOOKUP("FPL As",A1:CV300,100,FALSE)/HLOOKUP("Mins",A1:CV300,100,FALSE)* 90)</f>
      </c>
      <c r="BI100" s="12463">
        <f>IF(HLOOKUP("Mins",A1:CV300,100,FALSE)=0,0,HLOOKUP("BC Created",A1:CV300,100,FALSE)/HLOOKUP("Mins",A1:CV300,100,FALSE)* 90)</f>
      </c>
      <c r="BJ100" s="12464">
        <f>IF(HLOOKUP("Mins",A1:CV300,100,FALSE)=0,0,HLOOKUP("KP",A1:CV300,100,FALSE)/HLOOKUP("Mins",A1:CV300,100,FALSE)* 90)</f>
      </c>
      <c r="BK100" s="12465">
        <f>IF(HLOOKUP("Mins",A1:CV300,100,FALSE)=0,0,HLOOKUP("BC",A1:CV300,100,FALSE)/HLOOKUP("Mins",A1:CV300,100,FALSE)* 90)</f>
      </c>
      <c r="BL100" s="12466">
        <f>IF(HLOOKUP("Mins",A1:CV300,100,FALSE)=0,0,HLOOKUP("BC Miss",A1:CV300,100,FALSE)/HLOOKUP("Mins",A1:CV300,100,FALSE)* 90)</f>
      </c>
      <c r="BM100" s="12467">
        <f>IF(HLOOKUP("Mins",A1:CV300,100,FALSE)=0,0,HLOOKUP("Gs - BC",A1:CV300,100,FALSE)/HLOOKUP("Mins",A1:CV300,100,FALSE)* 90)</f>
      </c>
      <c r="BN100" s="12468">
        <f>IF(HLOOKUP("Mins",A1:CV300,100,FALSE)=0,0,HLOOKUP("GIB",A1:CV300,100,FALSE)/HLOOKUP("Mins",A1:CV300,100,FALSE)* 90)</f>
      </c>
      <c r="BO100" s="12469">
        <f>IF(HLOOKUP("Mins",A1:CV300,100,FALSE)=0,0,HLOOKUP("Gs - Open",A1:CV300,100,FALSE)/HLOOKUP("Mins",A1:CV300,100,FALSE)* 90)</f>
      </c>
      <c r="BP100" s="12470">
        <f>IF(HLOOKUP("Mins",A1:CV300,100,FALSE)=0,0,HLOOKUP("ICT Index",A1:CV300,100,FALSE)/HLOOKUP("Mins",A1:CV300,100,FALSE)* 90)</f>
      </c>
      <c r="BQ100" s="12471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2472">
        <f>0.0825*HLOOKUP("KP/90",A1:CV300,100,FALSE)</f>
      </c>
      <c r="BS100" s="12473">
        <f>6*HLOOKUP("xG/90",A1:CV300,100,FALSE)+3*HLOOKUP("xA/90",A1:CV300,100,FALSE)</f>
      </c>
      <c r="BT100" s="12474">
        <f>HLOOKUP("xPts/90",A1:CV300,100,FALSE)-(6*0.75*(HLOOKUP("PK Gs",A1:CV300,100,FALSE)+HLOOKUP("PK Miss",A1:CV300,100,FALSE))*90/HLOOKUP("Mins",A1:CV300,100,FALSE))</f>
      </c>
      <c r="BU100" s="12475">
        <f>IF(HLOOKUP("Mins",A1:CV300,100,FALSE)=0,0,HLOOKUP("fsXG",A1:CV300,100,FALSE)/HLOOKUP("Mins",A1:CV300,100,FALSE)* 90)</f>
      </c>
      <c r="BV100" s="12476">
        <f>IF(HLOOKUP("Mins",A1:CV300,100,FALSE)=0,0,HLOOKUP("fsXA",A1:CV300,100,FALSE)/HLOOKUP("Mins",A1:CV300,100,FALSE)* 90)</f>
      </c>
      <c r="BW100" s="12477">
        <f>6*HLOOKUP("fsXG/90",A1:CV300,100,FALSE)+3*HLOOKUP("fsXA/90",A1:CV300,100,FALSE)</f>
      </c>
      <c r="BX100" t="n" s="12478">
        <v>0.02020646259188652</v>
      </c>
      <c r="BY100" t="n" s="12479">
        <v>0.017621276900172234</v>
      </c>
      <c r="BZ100" s="12480">
        <f>6*HLOOKUP("uXG/90",A1:CV300,100,FALSE)+3*HLOOKUP("uXA/90",A1:CV300,100,FALSE)</f>
      </c>
    </row>
    <row r="101">
      <c r="A101" t="s" s="12481">
        <v>257</v>
      </c>
      <c r="B101" t="s" s="12482">
        <v>127</v>
      </c>
      <c r="C101" t="n" s="12483">
        <v>7.0</v>
      </c>
      <c r="D101" t="n" s="12484">
        <v>389.0</v>
      </c>
      <c r="E101" t="n" s="12485">
        <v>5.0</v>
      </c>
      <c r="F101" t="n" s="12486">
        <v>104.0</v>
      </c>
      <c r="G101" t="n" s="12487">
        <v>0.0</v>
      </c>
      <c r="H101" t="n" s="12488">
        <v>12.0</v>
      </c>
      <c r="I101" t="n" s="12489">
        <v>480.0</v>
      </c>
      <c r="J101" s="12490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2491">
        <v>0.0</v>
      </c>
      <c r="L101" t="n" s="12492">
        <v>7.0</v>
      </c>
      <c r="M101" t="n" s="12493">
        <v>13.0</v>
      </c>
      <c r="N101" t="n" s="12494">
        <v>1.0</v>
      </c>
      <c r="O101" t="n" s="12495">
        <v>0.0</v>
      </c>
      <c r="P101" s="12496">
        <f>IF(HLOOKUP("Shots",A1:CV300,101,FALSE)=0,0,HLOOKUP("SIB",A1:CV300,101,FALSE)/HLOOKUP("Shots",A1:CV300,101,FALSE))</f>
      </c>
      <c r="Q101" t="n" s="12497">
        <v>0.0</v>
      </c>
      <c r="R101" s="12498">
        <f>IF(HLOOKUP("Shots",A1:CV300,101,FALSE)=0,0,HLOOKUP("S6YD",A1:CV300,101,FALSE)/HLOOKUP("Shots",A1:CV300,101,FALSE))</f>
      </c>
      <c r="S101" t="n" s="12499">
        <v>0.0</v>
      </c>
      <c r="T101" s="12500">
        <f>IF(HLOOKUP("Shots",A1:CV300,101,FALSE)=0,0,HLOOKUP("Headers",A1:CV300,101,FALSE)/HLOOKUP("Shots",A1:CV300,101,FALSE))</f>
      </c>
      <c r="U101" t="n" s="12501">
        <v>0.0</v>
      </c>
      <c r="V101" s="12502">
        <f>IF(HLOOKUP("Shots",A1:CV300,101,FALSE)=0,0,HLOOKUP("SOT",A1:CV300,101,FALSE)/HLOOKUP("Shots",A1:CV300,101,FALSE))</f>
      </c>
      <c r="W101" s="12503">
        <f>IF(HLOOKUP("Shots",A1:CV300,101,FALSE)=0,0,HLOOKUP("Gs",A1:CV300,101,FALSE)/HLOOKUP("Shots",A1:CV300,101,FALSE))</f>
      </c>
      <c r="X101" t="n" s="12504">
        <v>1.0</v>
      </c>
      <c r="Y101" t="n" s="12505">
        <v>6.0</v>
      </c>
      <c r="Z101" t="n" s="12506">
        <v>9.0</v>
      </c>
      <c r="AA101" s="12507">
        <f>IF(HLOOKUP("KP",A1:CV300,101,FALSE)=0,0,HLOOKUP("As",A1:CV300,101,FALSE)/HLOOKUP("KP",A1:CV300,101,FALSE))</f>
      </c>
      <c r="AB101" t="n" s="12508">
        <v>26.4</v>
      </c>
      <c r="AC101" t="n" s="12509">
        <v>11.0</v>
      </c>
      <c r="AD101" t="n" s="12510">
        <v>2.0</v>
      </c>
      <c r="AE101" t="n" s="12511">
        <v>0.0</v>
      </c>
      <c r="AF101" t="n" s="12512">
        <v>0.0</v>
      </c>
      <c r="AG101" s="12513">
        <f>IF(HLOOKUP("BC",A1:CV300,101,FALSE)=0,0,HLOOKUP("Gs - BC",A1:CV300,101,FALSE)/HLOOKUP("BC",A1:CV300,101,FALSE))</f>
      </c>
      <c r="AH101" s="12514">
        <f>HLOOKUP("BC",A1:CV300,101,FALSE) - HLOOKUP("BC Miss",A1:CV300,101,FALSE)</f>
      </c>
      <c r="AI101" s="12515">
        <f>IF(HLOOKUP("Gs",A1:CV300,101,FALSE)=0,0,HLOOKUP("Gs - BC",A1:CV300,101,FALSE)/HLOOKUP("Gs",A1:CV300,101,FALSE))</f>
      </c>
      <c r="AJ101" t="n" s="12516">
        <v>0.0</v>
      </c>
      <c r="AK101" t="n" s="12517">
        <v>0.0</v>
      </c>
      <c r="AL101" s="12518">
        <f>HLOOKUP("BC",A1:CV300,101,FALSE) - (HLOOKUP("PK Gs",A1:CV300,101,FALSE) + HLOOKUP("PK Miss",A1:CV300,101,FALSE))</f>
      </c>
      <c r="AM101" s="12519">
        <f>HLOOKUP("BC Miss",A1:CV300,101,FALSE) - HLOOKUP("PK Miss",A1:CV300,101,FALSE)</f>
      </c>
      <c r="AN101" s="12520">
        <f>IF(HLOOKUP("BC - Open",A1:CV300,101,FALSE)=0,0,HLOOKUP("BC - Open Miss",A1:CV300,101,FALSE)/HLOOKUP("BC - Open",A1:CV300,101,FALSE))</f>
      </c>
      <c r="AO101" t="n" s="12521">
        <v>0.0</v>
      </c>
      <c r="AP101" s="12522">
        <f>IF(HLOOKUP("Gs",A1:CV300,101,FALSE)=0,0,HLOOKUP("GIB",A1:CV300,101,FALSE)/HLOOKUP("Gs",A1:CV300,101,FALSE))</f>
      </c>
      <c r="AQ101" t="n" s="12523">
        <v>0.0</v>
      </c>
      <c r="AR101" s="12524">
        <f>IF(HLOOKUP("Gs",A1:CV300,101,FALSE)=0,0,HLOOKUP("Gs - Open",A1:CV300,101,FALSE)/HLOOKUP("Gs",A1:CV300,101,FALSE))</f>
      </c>
      <c r="AS101" t="n" s="12525">
        <v>0.02</v>
      </c>
      <c r="AT101" t="n" s="12526">
        <v>1.27</v>
      </c>
      <c r="AU101" s="12527">
        <f>IF(HLOOKUP("Mins",A1:CV300,101,FALSE)=0,0,HLOOKUP("Pts",A1:CV300,101,FALSE)/HLOOKUP("Mins",A1:CV300,101,FALSE)* 90)</f>
      </c>
      <c r="AV101" s="12528">
        <f>IF(HLOOKUP("Apps",A1:CV300,101,FALSE)=0,0,HLOOKUP("Pts",A1:CV300,101,FALSE)/HLOOKUP("Apps",A1:CV300,101,FALSE)* 1)</f>
      </c>
      <c r="AW101" s="12529">
        <f>IF(HLOOKUP("Mins",A1:CV300,101,FALSE)=0,0,HLOOKUP("Gs",A1:CV300,101,FALSE)/HLOOKUP("Mins",A1:CV300,101,FALSE)* 90)</f>
      </c>
      <c r="AX101" s="12530">
        <f>IF(HLOOKUP("Mins",A1:CV300,101,FALSE)=0,0,HLOOKUP("Bonus",A1:CV300,101,FALSE)/HLOOKUP("Mins",A1:CV300,101,FALSE)* 90)</f>
      </c>
      <c r="AY101" s="12531">
        <f>IF(HLOOKUP("Mins",A1:CV300,101,FALSE)=0,0,HLOOKUP("BPS",A1:CV300,101,FALSE)/HLOOKUP("Mins",A1:CV300,101,FALSE)* 90)</f>
      </c>
      <c r="AZ101" s="12532">
        <f>IF(HLOOKUP("Mins",A1:CV300,101,FALSE)=0,0,HLOOKUP("Base BPS",A1:CV300,101,FALSE)/HLOOKUP("Mins",A1:CV300,101,FALSE)* 90)</f>
      </c>
      <c r="BA101" s="12533">
        <f>IF(HLOOKUP("Mins",A1:CV300,101,FALSE)=0,0,HLOOKUP("PenTchs",A1:CV300,101,FALSE)/HLOOKUP("Mins",A1:CV300,101,FALSE)* 90)</f>
      </c>
      <c r="BB101" s="12534">
        <f>IF(HLOOKUP("Mins",A1:CV300,101,FALSE)=0,0,HLOOKUP("Shots",A1:CV300,101,FALSE)/HLOOKUP("Mins",A1:CV300,101,FALSE)* 90)</f>
      </c>
      <c r="BC101" s="12535">
        <f>IF(HLOOKUP("Mins",A1:CV300,101,FALSE)=0,0,HLOOKUP("SIB",A1:CV300,101,FALSE)/HLOOKUP("Mins",A1:CV300,101,FALSE)* 90)</f>
      </c>
      <c r="BD101" s="12536">
        <f>IF(HLOOKUP("Mins",A1:CV300,101,FALSE)=0,0,HLOOKUP("S6YD",A1:CV300,101,FALSE)/HLOOKUP("Mins",A1:CV300,101,FALSE)* 90)</f>
      </c>
      <c r="BE101" s="12537">
        <f>IF(HLOOKUP("Mins",A1:CV300,101,FALSE)=0,0,HLOOKUP("Headers",A1:CV300,101,FALSE)/HLOOKUP("Mins",A1:CV300,101,FALSE)* 90)</f>
      </c>
      <c r="BF101" s="12538">
        <f>IF(HLOOKUP("Mins",A1:CV300,101,FALSE)=0,0,HLOOKUP("SOT",A1:CV300,101,FALSE)/HLOOKUP("Mins",A1:CV300,101,FALSE)* 90)</f>
      </c>
      <c r="BG101" s="12539">
        <f>IF(HLOOKUP("Mins",A1:CV300,101,FALSE)=0,0,HLOOKUP("As",A1:CV300,101,FALSE)/HLOOKUP("Mins",A1:CV300,101,FALSE)* 90)</f>
      </c>
      <c r="BH101" s="12540">
        <f>IF(HLOOKUP("Mins",A1:CV300,101,FALSE)=0,0,HLOOKUP("FPL As",A1:CV300,101,FALSE)/HLOOKUP("Mins",A1:CV300,101,FALSE)* 90)</f>
      </c>
      <c r="BI101" s="12541">
        <f>IF(HLOOKUP("Mins",A1:CV300,101,FALSE)=0,0,HLOOKUP("BC Created",A1:CV300,101,FALSE)/HLOOKUP("Mins",A1:CV300,101,FALSE)* 90)</f>
      </c>
      <c r="BJ101" s="12542">
        <f>IF(HLOOKUP("Mins",A1:CV300,101,FALSE)=0,0,HLOOKUP("KP",A1:CV300,101,FALSE)/HLOOKUP("Mins",A1:CV300,101,FALSE)* 90)</f>
      </c>
      <c r="BK101" s="12543">
        <f>IF(HLOOKUP("Mins",A1:CV300,101,FALSE)=0,0,HLOOKUP("BC",A1:CV300,101,FALSE)/HLOOKUP("Mins",A1:CV300,101,FALSE)* 90)</f>
      </c>
      <c r="BL101" s="12544">
        <f>IF(HLOOKUP("Mins",A1:CV300,101,FALSE)=0,0,HLOOKUP("BC Miss",A1:CV300,101,FALSE)/HLOOKUP("Mins",A1:CV300,101,FALSE)* 90)</f>
      </c>
      <c r="BM101" s="12545">
        <f>IF(HLOOKUP("Mins",A1:CV300,101,FALSE)=0,0,HLOOKUP("Gs - BC",A1:CV300,101,FALSE)/HLOOKUP("Mins",A1:CV300,101,FALSE)* 90)</f>
      </c>
      <c r="BN101" s="12546">
        <f>IF(HLOOKUP("Mins",A1:CV300,101,FALSE)=0,0,HLOOKUP("GIB",A1:CV300,101,FALSE)/HLOOKUP("Mins",A1:CV300,101,FALSE)* 90)</f>
      </c>
      <c r="BO101" s="12547">
        <f>IF(HLOOKUP("Mins",A1:CV300,101,FALSE)=0,0,HLOOKUP("Gs - Open",A1:CV300,101,FALSE)/HLOOKUP("Mins",A1:CV300,101,FALSE)* 90)</f>
      </c>
      <c r="BP101" s="12548">
        <f>IF(HLOOKUP("Mins",A1:CV300,101,FALSE)=0,0,HLOOKUP("ICT Index",A1:CV300,101,FALSE)/HLOOKUP("Mins",A1:CV300,101,FALSE)* 90)</f>
      </c>
      <c r="BQ101" s="12549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2550">
        <f>0.0825*HLOOKUP("KP/90",A1:CV300,101,FALSE)</f>
      </c>
      <c r="BS101" s="12551">
        <f>6*HLOOKUP("xG/90",A1:CV300,101,FALSE)+3*HLOOKUP("xA/90",A1:CV300,101,FALSE)</f>
      </c>
      <c r="BT101" s="12552">
        <f>HLOOKUP("xPts/90",A1:CV300,101,FALSE)-(6*0.75*(HLOOKUP("PK Gs",A1:CV300,101,FALSE)+HLOOKUP("PK Miss",A1:CV300,101,FALSE))*90/HLOOKUP("Mins",A1:CV300,101,FALSE))</f>
      </c>
      <c r="BU101" s="12553">
        <f>IF(HLOOKUP("Mins",A1:CV300,101,FALSE)=0,0,HLOOKUP("fsXG",A1:CV300,101,FALSE)/HLOOKUP("Mins",A1:CV300,101,FALSE)* 90)</f>
      </c>
      <c r="BV101" s="12554">
        <f>IF(HLOOKUP("Mins",A1:CV300,101,FALSE)=0,0,HLOOKUP("fsXA",A1:CV300,101,FALSE)/HLOOKUP("Mins",A1:CV300,101,FALSE)* 90)</f>
      </c>
      <c r="BW101" s="12555">
        <f>6*HLOOKUP("fsXG/90",A1:CV300,101,FALSE)+3*HLOOKUP("fsXA/90",A1:CV300,101,FALSE)</f>
      </c>
      <c r="BX101" t="n" s="12556">
        <v>0.003794633550569415</v>
      </c>
      <c r="BY101" t="n" s="12557">
        <v>0.3880801200866699</v>
      </c>
      <c r="BZ101" s="12558">
        <f>6*HLOOKUP("uXG/90",A1:CV300,101,FALSE)+3*HLOOKUP("uXA/90",A1:CV300,101,FALSE)</f>
      </c>
    </row>
    <row r="102">
      <c r="A102" t="s" s="12559">
        <v>258</v>
      </c>
      <c r="B102" t="s" s="12560">
        <v>144</v>
      </c>
      <c r="C102" t="n" s="12561">
        <v>4.0</v>
      </c>
      <c r="D102" t="n" s="12562">
        <v>180.0</v>
      </c>
      <c r="E102" t="n" s="12563">
        <v>2.0</v>
      </c>
      <c r="F102" t="n" s="12564">
        <v>24.0</v>
      </c>
      <c r="G102" t="n" s="12565">
        <v>0.0</v>
      </c>
      <c r="H102" t="n" s="12566">
        <v>1.0</v>
      </c>
      <c r="I102" t="n" s="12567">
        <v>101.0</v>
      </c>
      <c r="J102" s="12568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2569">
        <v>0.0</v>
      </c>
      <c r="L102" t="n" s="12570">
        <v>2.0</v>
      </c>
      <c r="M102" t="n" s="12571">
        <v>7.0</v>
      </c>
      <c r="N102" t="n" s="12572">
        <v>2.0</v>
      </c>
      <c r="O102" t="n" s="12573">
        <v>1.0</v>
      </c>
      <c r="P102" s="12574">
        <f>IF(HLOOKUP("Shots",A1:CV300,102,FALSE)=0,0,HLOOKUP("SIB",A1:CV300,102,FALSE)/HLOOKUP("Shots",A1:CV300,102,FALSE))</f>
      </c>
      <c r="Q102" t="n" s="12575">
        <v>1.0</v>
      </c>
      <c r="R102" s="12576">
        <f>IF(HLOOKUP("Shots",A1:CV300,102,FALSE)=0,0,HLOOKUP("S6YD",A1:CV300,102,FALSE)/HLOOKUP("Shots",A1:CV300,102,FALSE))</f>
      </c>
      <c r="S102" t="n" s="12577">
        <v>0.0</v>
      </c>
      <c r="T102" s="12578">
        <f>IF(HLOOKUP("Shots",A1:CV300,102,FALSE)=0,0,HLOOKUP("Headers",A1:CV300,102,FALSE)/HLOOKUP("Shots",A1:CV300,102,FALSE))</f>
      </c>
      <c r="U102" t="n" s="12579">
        <v>0.0</v>
      </c>
      <c r="V102" s="12580">
        <f>IF(HLOOKUP("Shots",A1:CV300,102,FALSE)=0,0,HLOOKUP("SOT",A1:CV300,102,FALSE)/HLOOKUP("Shots",A1:CV300,102,FALSE))</f>
      </c>
      <c r="W102" s="12581">
        <f>IF(HLOOKUP("Shots",A1:CV300,102,FALSE)=0,0,HLOOKUP("Gs",A1:CV300,102,FALSE)/HLOOKUP("Shots",A1:CV300,102,FALSE))</f>
      </c>
      <c r="X102" t="n" s="12582">
        <v>0.0</v>
      </c>
      <c r="Y102" t="n" s="12583">
        <v>1.0</v>
      </c>
      <c r="Z102" t="n" s="12584">
        <v>3.0</v>
      </c>
      <c r="AA102" s="12585">
        <f>IF(HLOOKUP("KP",A1:CV300,102,FALSE)=0,0,HLOOKUP("As",A1:CV300,102,FALSE)/HLOOKUP("KP",A1:CV300,102,FALSE))</f>
      </c>
      <c r="AB102" t="n" s="12586">
        <v>9.4</v>
      </c>
      <c r="AC102" t="n" s="12587">
        <v>17.0</v>
      </c>
      <c r="AD102" t="n" s="12588">
        <v>0.0</v>
      </c>
      <c r="AE102" t="n" s="12589">
        <v>1.0</v>
      </c>
      <c r="AF102" t="n" s="12590">
        <v>1.0</v>
      </c>
      <c r="AG102" s="12591">
        <f>IF(HLOOKUP("BC",A1:CV300,102,FALSE)=0,0,HLOOKUP("Gs - BC",A1:CV300,102,FALSE)/HLOOKUP("BC",A1:CV300,102,FALSE))</f>
      </c>
      <c r="AH102" s="12592">
        <f>HLOOKUP("BC",A1:CV300,102,FALSE) - HLOOKUP("BC Miss",A1:CV300,102,FALSE)</f>
      </c>
      <c r="AI102" s="12593">
        <f>IF(HLOOKUP("Gs",A1:CV300,102,FALSE)=0,0,HLOOKUP("Gs - BC",A1:CV300,102,FALSE)/HLOOKUP("Gs",A1:CV300,102,FALSE))</f>
      </c>
      <c r="AJ102" t="n" s="12594">
        <v>0.0</v>
      </c>
      <c r="AK102" t="n" s="12595">
        <v>0.0</v>
      </c>
      <c r="AL102" s="12596">
        <f>HLOOKUP("BC",A1:CV300,102,FALSE) - (HLOOKUP("PK Gs",A1:CV300,102,FALSE) + HLOOKUP("PK Miss",A1:CV300,102,FALSE))</f>
      </c>
      <c r="AM102" s="12597">
        <f>HLOOKUP("BC Miss",A1:CV300,102,FALSE) - HLOOKUP("PK Miss",A1:CV300,102,FALSE)</f>
      </c>
      <c r="AN102" s="12598">
        <f>IF(HLOOKUP("BC - Open",A1:CV300,102,FALSE)=0,0,HLOOKUP("BC - Open Miss",A1:CV300,102,FALSE)/HLOOKUP("BC - Open",A1:CV300,102,FALSE))</f>
      </c>
      <c r="AO102" t="n" s="12599">
        <v>0.0</v>
      </c>
      <c r="AP102" s="12600">
        <f>IF(HLOOKUP("Gs",A1:CV300,102,FALSE)=0,0,HLOOKUP("GIB",A1:CV300,102,FALSE)/HLOOKUP("Gs",A1:CV300,102,FALSE))</f>
      </c>
      <c r="AQ102" t="n" s="12601">
        <v>0.0</v>
      </c>
      <c r="AR102" s="12602">
        <f>IF(HLOOKUP("Gs",A1:CV300,102,FALSE)=0,0,HLOOKUP("Gs - Open",A1:CV300,102,FALSE)/HLOOKUP("Gs",A1:CV300,102,FALSE))</f>
      </c>
      <c r="AS102" t="n" s="12603">
        <v>0.85</v>
      </c>
      <c r="AT102" t="n" s="12604">
        <v>0.14</v>
      </c>
      <c r="AU102" s="12605">
        <f>IF(HLOOKUP("Mins",A1:CV300,102,FALSE)=0,0,HLOOKUP("Pts",A1:CV300,102,FALSE)/HLOOKUP("Mins",A1:CV300,102,FALSE)* 90)</f>
      </c>
      <c r="AV102" s="12606">
        <f>IF(HLOOKUP("Apps",A1:CV300,102,FALSE)=0,0,HLOOKUP("Pts",A1:CV300,102,FALSE)/HLOOKUP("Apps",A1:CV300,102,FALSE)* 1)</f>
      </c>
      <c r="AW102" s="12607">
        <f>IF(HLOOKUP("Mins",A1:CV300,102,FALSE)=0,0,HLOOKUP("Gs",A1:CV300,102,FALSE)/HLOOKUP("Mins",A1:CV300,102,FALSE)* 90)</f>
      </c>
      <c r="AX102" s="12608">
        <f>IF(HLOOKUP("Mins",A1:CV300,102,FALSE)=0,0,HLOOKUP("Bonus",A1:CV300,102,FALSE)/HLOOKUP("Mins",A1:CV300,102,FALSE)* 90)</f>
      </c>
      <c r="AY102" s="12609">
        <f>IF(HLOOKUP("Mins",A1:CV300,102,FALSE)=0,0,HLOOKUP("BPS",A1:CV300,102,FALSE)/HLOOKUP("Mins",A1:CV300,102,FALSE)* 90)</f>
      </c>
      <c r="AZ102" s="12610">
        <f>IF(HLOOKUP("Mins",A1:CV300,102,FALSE)=0,0,HLOOKUP("Base BPS",A1:CV300,102,FALSE)/HLOOKUP("Mins",A1:CV300,102,FALSE)* 90)</f>
      </c>
      <c r="BA102" s="12611">
        <f>IF(HLOOKUP("Mins",A1:CV300,102,FALSE)=0,0,HLOOKUP("PenTchs",A1:CV300,102,FALSE)/HLOOKUP("Mins",A1:CV300,102,FALSE)* 90)</f>
      </c>
      <c r="BB102" s="12612">
        <f>IF(HLOOKUP("Mins",A1:CV300,102,FALSE)=0,0,HLOOKUP("Shots",A1:CV300,102,FALSE)/HLOOKUP("Mins",A1:CV300,102,FALSE)* 90)</f>
      </c>
      <c r="BC102" s="12613">
        <f>IF(HLOOKUP("Mins",A1:CV300,102,FALSE)=0,0,HLOOKUP("SIB",A1:CV300,102,FALSE)/HLOOKUP("Mins",A1:CV300,102,FALSE)* 90)</f>
      </c>
      <c r="BD102" s="12614">
        <f>IF(HLOOKUP("Mins",A1:CV300,102,FALSE)=0,0,HLOOKUP("S6YD",A1:CV300,102,FALSE)/HLOOKUP("Mins",A1:CV300,102,FALSE)* 90)</f>
      </c>
      <c r="BE102" s="12615">
        <f>IF(HLOOKUP("Mins",A1:CV300,102,FALSE)=0,0,HLOOKUP("Headers",A1:CV300,102,FALSE)/HLOOKUP("Mins",A1:CV300,102,FALSE)* 90)</f>
      </c>
      <c r="BF102" s="12616">
        <f>IF(HLOOKUP("Mins",A1:CV300,102,FALSE)=0,0,HLOOKUP("SOT",A1:CV300,102,FALSE)/HLOOKUP("Mins",A1:CV300,102,FALSE)* 90)</f>
      </c>
      <c r="BG102" s="12617">
        <f>IF(HLOOKUP("Mins",A1:CV300,102,FALSE)=0,0,HLOOKUP("As",A1:CV300,102,FALSE)/HLOOKUP("Mins",A1:CV300,102,FALSE)* 90)</f>
      </c>
      <c r="BH102" s="12618">
        <f>IF(HLOOKUP("Mins",A1:CV300,102,FALSE)=0,0,HLOOKUP("FPL As",A1:CV300,102,FALSE)/HLOOKUP("Mins",A1:CV300,102,FALSE)* 90)</f>
      </c>
      <c r="BI102" s="12619">
        <f>IF(HLOOKUP("Mins",A1:CV300,102,FALSE)=0,0,HLOOKUP("BC Created",A1:CV300,102,FALSE)/HLOOKUP("Mins",A1:CV300,102,FALSE)* 90)</f>
      </c>
      <c r="BJ102" s="12620">
        <f>IF(HLOOKUP("Mins",A1:CV300,102,FALSE)=0,0,HLOOKUP("KP",A1:CV300,102,FALSE)/HLOOKUP("Mins",A1:CV300,102,FALSE)* 90)</f>
      </c>
      <c r="BK102" s="12621">
        <f>IF(HLOOKUP("Mins",A1:CV300,102,FALSE)=0,0,HLOOKUP("BC",A1:CV300,102,FALSE)/HLOOKUP("Mins",A1:CV300,102,FALSE)* 90)</f>
      </c>
      <c r="BL102" s="12622">
        <f>IF(HLOOKUP("Mins",A1:CV300,102,FALSE)=0,0,HLOOKUP("BC Miss",A1:CV300,102,FALSE)/HLOOKUP("Mins",A1:CV300,102,FALSE)* 90)</f>
      </c>
      <c r="BM102" s="12623">
        <f>IF(HLOOKUP("Mins",A1:CV300,102,FALSE)=0,0,HLOOKUP("Gs - BC",A1:CV300,102,FALSE)/HLOOKUP("Mins",A1:CV300,102,FALSE)* 90)</f>
      </c>
      <c r="BN102" s="12624">
        <f>IF(HLOOKUP("Mins",A1:CV300,102,FALSE)=0,0,HLOOKUP("GIB",A1:CV300,102,FALSE)/HLOOKUP("Mins",A1:CV300,102,FALSE)* 90)</f>
      </c>
      <c r="BO102" s="12625">
        <f>IF(HLOOKUP("Mins",A1:CV300,102,FALSE)=0,0,HLOOKUP("Gs - Open",A1:CV300,102,FALSE)/HLOOKUP("Mins",A1:CV300,102,FALSE)* 90)</f>
      </c>
      <c r="BP102" s="12626">
        <f>IF(HLOOKUP("Mins",A1:CV300,102,FALSE)=0,0,HLOOKUP("ICT Index",A1:CV300,102,FALSE)/HLOOKUP("Mins",A1:CV300,102,FALSE)* 90)</f>
      </c>
      <c r="BQ102" s="12627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2628">
        <f>0.0825*HLOOKUP("KP/90",A1:CV300,102,FALSE)</f>
      </c>
      <c r="BS102" s="12629">
        <f>6*HLOOKUP("xG/90",A1:CV300,102,FALSE)+3*HLOOKUP("xA/90",A1:CV300,102,FALSE)</f>
      </c>
      <c r="BT102" s="12630">
        <f>HLOOKUP("xPts/90",A1:CV300,102,FALSE)-(6*0.75*(HLOOKUP("PK Gs",A1:CV300,102,FALSE)+HLOOKUP("PK Miss",A1:CV300,102,FALSE))*90/HLOOKUP("Mins",A1:CV300,102,FALSE))</f>
      </c>
      <c r="BU102" s="12631">
        <f>IF(HLOOKUP("Mins",A1:CV300,102,FALSE)=0,0,HLOOKUP("fsXG",A1:CV300,102,FALSE)/HLOOKUP("Mins",A1:CV300,102,FALSE)* 90)</f>
      </c>
      <c r="BV102" s="12632">
        <f>IF(HLOOKUP("Mins",A1:CV300,102,FALSE)=0,0,HLOOKUP("fsXA",A1:CV300,102,FALSE)/HLOOKUP("Mins",A1:CV300,102,FALSE)* 90)</f>
      </c>
      <c r="BW102" s="12633">
        <f>6*HLOOKUP("fsXG/90",A1:CV300,102,FALSE)+3*HLOOKUP("fsXA/90",A1:CV300,102,FALSE)</f>
      </c>
      <c r="BX102" t="n" s="12634">
        <v>0.3719980716705322</v>
      </c>
      <c r="BY102" t="n" s="12635">
        <v>0.06287826597690582</v>
      </c>
      <c r="BZ102" s="12636">
        <f>6*HLOOKUP("uXG/90",A1:CV300,102,FALSE)+3*HLOOKUP("uXA/90",A1:CV300,102,FALSE)</f>
      </c>
    </row>
    <row r="103">
      <c r="A103" t="s" s="12637">
        <v>259</v>
      </c>
      <c r="B103" t="s" s="12638">
        <v>87</v>
      </c>
      <c r="C103" t="n" s="12639">
        <v>4.199999809265137</v>
      </c>
      <c r="D103" t="n" s="12640">
        <v>270.0</v>
      </c>
      <c r="E103" t="n" s="12641">
        <v>3.0</v>
      </c>
      <c r="F103" t="n" s="12642">
        <v>19.0</v>
      </c>
      <c r="G103" t="n" s="12643">
        <v>0.0</v>
      </c>
      <c r="H103" t="n" s="12644">
        <v>5.0</v>
      </c>
      <c r="I103" t="n" s="12645">
        <v>154.0</v>
      </c>
      <c r="J103" s="12646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2647">
        <v>0.0</v>
      </c>
      <c r="L103" t="n" s="12648">
        <v>1.0</v>
      </c>
      <c r="M103" t="n" s="12649">
        <v>2.0</v>
      </c>
      <c r="N103" t="n" s="12650">
        <v>1.0</v>
      </c>
      <c r="O103" t="n" s="12651">
        <v>1.0</v>
      </c>
      <c r="P103" s="12652">
        <f>IF(HLOOKUP("Shots",A1:CV300,103,FALSE)=0,0,HLOOKUP("SIB",A1:CV300,103,FALSE)/HLOOKUP("Shots",A1:CV300,103,FALSE))</f>
      </c>
      <c r="Q103" t="n" s="12653">
        <v>0.0</v>
      </c>
      <c r="R103" s="12654">
        <f>IF(HLOOKUP("Shots",A1:CV300,103,FALSE)=0,0,HLOOKUP("S6YD",A1:CV300,103,FALSE)/HLOOKUP("Shots",A1:CV300,103,FALSE))</f>
      </c>
      <c r="S103" t="n" s="12655">
        <v>0.0</v>
      </c>
      <c r="T103" s="12656">
        <f>IF(HLOOKUP("Shots",A1:CV300,103,FALSE)=0,0,HLOOKUP("Headers",A1:CV300,103,FALSE)/HLOOKUP("Shots",A1:CV300,103,FALSE))</f>
      </c>
      <c r="U103" t="n" s="12657">
        <v>0.0</v>
      </c>
      <c r="V103" s="12658">
        <f>IF(HLOOKUP("Shots",A1:CV300,103,FALSE)=0,0,HLOOKUP("SOT",A1:CV300,103,FALSE)/HLOOKUP("Shots",A1:CV300,103,FALSE))</f>
      </c>
      <c r="W103" s="12659">
        <f>IF(HLOOKUP("Shots",A1:CV300,103,FALSE)=0,0,HLOOKUP("Gs",A1:CV300,103,FALSE)/HLOOKUP("Shots",A1:CV300,103,FALSE))</f>
      </c>
      <c r="X103" t="n" s="12660">
        <v>0.0</v>
      </c>
      <c r="Y103" t="n" s="12661">
        <v>1.0</v>
      </c>
      <c r="Z103" t="n" s="12662">
        <v>4.0</v>
      </c>
      <c r="AA103" s="12663">
        <f>IF(HLOOKUP("KP",A1:CV300,103,FALSE)=0,0,HLOOKUP("As",A1:CV300,103,FALSE)/HLOOKUP("KP",A1:CV300,103,FALSE))</f>
      </c>
      <c r="AB103" t="n" s="12664">
        <v>12.3</v>
      </c>
      <c r="AC103" t="n" s="12665">
        <v>0.0</v>
      </c>
      <c r="AD103" t="n" s="12666">
        <v>0.0</v>
      </c>
      <c r="AE103" t="n" s="12667">
        <v>0.0</v>
      </c>
      <c r="AF103" t="n" s="12668">
        <v>0.0</v>
      </c>
      <c r="AG103" s="12669">
        <f>IF(HLOOKUP("BC",A1:CV300,103,FALSE)=0,0,HLOOKUP("Gs - BC",A1:CV300,103,FALSE)/HLOOKUP("BC",A1:CV300,103,FALSE))</f>
      </c>
      <c r="AH103" s="12670">
        <f>HLOOKUP("BC",A1:CV300,103,FALSE) - HLOOKUP("BC Miss",A1:CV300,103,FALSE)</f>
      </c>
      <c r="AI103" s="12671">
        <f>IF(HLOOKUP("Gs",A1:CV300,103,FALSE)=0,0,HLOOKUP("Gs - BC",A1:CV300,103,FALSE)/HLOOKUP("Gs",A1:CV300,103,FALSE))</f>
      </c>
      <c r="AJ103" t="n" s="12672">
        <v>0.0</v>
      </c>
      <c r="AK103" t="n" s="12673">
        <v>0.0</v>
      </c>
      <c r="AL103" s="12674">
        <f>HLOOKUP("BC",A1:CV300,103,FALSE) - (HLOOKUP("PK Gs",A1:CV300,103,FALSE) + HLOOKUP("PK Miss",A1:CV300,103,FALSE))</f>
      </c>
      <c r="AM103" s="12675">
        <f>HLOOKUP("BC Miss",A1:CV300,103,FALSE) - HLOOKUP("PK Miss",A1:CV300,103,FALSE)</f>
      </c>
      <c r="AN103" s="12676">
        <f>IF(HLOOKUP("BC - Open",A1:CV300,103,FALSE)=0,0,HLOOKUP("BC - Open Miss",A1:CV300,103,FALSE)/HLOOKUP("BC - Open",A1:CV300,103,FALSE))</f>
      </c>
      <c r="AO103" t="n" s="12677">
        <v>0.0</v>
      </c>
      <c r="AP103" s="12678">
        <f>IF(HLOOKUP("Gs",A1:CV300,103,FALSE)=0,0,HLOOKUP("GIB",A1:CV300,103,FALSE)/HLOOKUP("Gs",A1:CV300,103,FALSE))</f>
      </c>
      <c r="AQ103" t="n" s="12679">
        <v>0.0</v>
      </c>
      <c r="AR103" s="12680">
        <f>IF(HLOOKUP("Gs",A1:CV300,103,FALSE)=0,0,HLOOKUP("Gs - Open",A1:CV300,103,FALSE)/HLOOKUP("Gs",A1:CV300,103,FALSE))</f>
      </c>
      <c r="AS103" t="n" s="12681">
        <v>0.05</v>
      </c>
      <c r="AT103" t="n" s="12682">
        <v>0.27</v>
      </c>
      <c r="AU103" s="12683">
        <f>IF(HLOOKUP("Mins",A1:CV300,103,FALSE)=0,0,HLOOKUP("Pts",A1:CV300,103,FALSE)/HLOOKUP("Mins",A1:CV300,103,FALSE)* 90)</f>
      </c>
      <c r="AV103" s="12684">
        <f>IF(HLOOKUP("Apps",A1:CV300,103,FALSE)=0,0,HLOOKUP("Pts",A1:CV300,103,FALSE)/HLOOKUP("Apps",A1:CV300,103,FALSE)* 1)</f>
      </c>
      <c r="AW103" s="12685">
        <f>IF(HLOOKUP("Mins",A1:CV300,103,FALSE)=0,0,HLOOKUP("Gs",A1:CV300,103,FALSE)/HLOOKUP("Mins",A1:CV300,103,FALSE)* 90)</f>
      </c>
      <c r="AX103" s="12686">
        <f>IF(HLOOKUP("Mins",A1:CV300,103,FALSE)=0,0,HLOOKUP("Bonus",A1:CV300,103,FALSE)/HLOOKUP("Mins",A1:CV300,103,FALSE)* 90)</f>
      </c>
      <c r="AY103" s="12687">
        <f>IF(HLOOKUP("Mins",A1:CV300,103,FALSE)=0,0,HLOOKUP("BPS",A1:CV300,103,FALSE)/HLOOKUP("Mins",A1:CV300,103,FALSE)* 90)</f>
      </c>
      <c r="AZ103" s="12688">
        <f>IF(HLOOKUP("Mins",A1:CV300,103,FALSE)=0,0,HLOOKUP("Base BPS",A1:CV300,103,FALSE)/HLOOKUP("Mins",A1:CV300,103,FALSE)* 90)</f>
      </c>
      <c r="BA103" s="12689">
        <f>IF(HLOOKUP("Mins",A1:CV300,103,FALSE)=0,0,HLOOKUP("PenTchs",A1:CV300,103,FALSE)/HLOOKUP("Mins",A1:CV300,103,FALSE)* 90)</f>
      </c>
      <c r="BB103" s="12690">
        <f>IF(HLOOKUP("Mins",A1:CV300,103,FALSE)=0,0,HLOOKUP("Shots",A1:CV300,103,FALSE)/HLOOKUP("Mins",A1:CV300,103,FALSE)* 90)</f>
      </c>
      <c r="BC103" s="12691">
        <f>IF(HLOOKUP("Mins",A1:CV300,103,FALSE)=0,0,HLOOKUP("SIB",A1:CV300,103,FALSE)/HLOOKUP("Mins",A1:CV300,103,FALSE)* 90)</f>
      </c>
      <c r="BD103" s="12692">
        <f>IF(HLOOKUP("Mins",A1:CV300,103,FALSE)=0,0,HLOOKUP("S6YD",A1:CV300,103,FALSE)/HLOOKUP("Mins",A1:CV300,103,FALSE)* 90)</f>
      </c>
      <c r="BE103" s="12693">
        <f>IF(HLOOKUP("Mins",A1:CV300,103,FALSE)=0,0,HLOOKUP("Headers",A1:CV300,103,FALSE)/HLOOKUP("Mins",A1:CV300,103,FALSE)* 90)</f>
      </c>
      <c r="BF103" s="12694">
        <f>IF(HLOOKUP("Mins",A1:CV300,103,FALSE)=0,0,HLOOKUP("SOT",A1:CV300,103,FALSE)/HLOOKUP("Mins",A1:CV300,103,FALSE)* 90)</f>
      </c>
      <c r="BG103" s="12695">
        <f>IF(HLOOKUP("Mins",A1:CV300,103,FALSE)=0,0,HLOOKUP("As",A1:CV300,103,FALSE)/HLOOKUP("Mins",A1:CV300,103,FALSE)* 90)</f>
      </c>
      <c r="BH103" s="12696">
        <f>IF(HLOOKUP("Mins",A1:CV300,103,FALSE)=0,0,HLOOKUP("FPL As",A1:CV300,103,FALSE)/HLOOKUP("Mins",A1:CV300,103,FALSE)* 90)</f>
      </c>
      <c r="BI103" s="12697">
        <f>IF(HLOOKUP("Mins",A1:CV300,103,FALSE)=0,0,HLOOKUP("BC Created",A1:CV300,103,FALSE)/HLOOKUP("Mins",A1:CV300,103,FALSE)* 90)</f>
      </c>
      <c r="BJ103" s="12698">
        <f>IF(HLOOKUP("Mins",A1:CV300,103,FALSE)=0,0,HLOOKUP("KP",A1:CV300,103,FALSE)/HLOOKUP("Mins",A1:CV300,103,FALSE)* 90)</f>
      </c>
      <c r="BK103" s="12699">
        <f>IF(HLOOKUP("Mins",A1:CV300,103,FALSE)=0,0,HLOOKUP("BC",A1:CV300,103,FALSE)/HLOOKUP("Mins",A1:CV300,103,FALSE)* 90)</f>
      </c>
      <c r="BL103" s="12700">
        <f>IF(HLOOKUP("Mins",A1:CV300,103,FALSE)=0,0,HLOOKUP("BC Miss",A1:CV300,103,FALSE)/HLOOKUP("Mins",A1:CV300,103,FALSE)* 90)</f>
      </c>
      <c r="BM103" s="12701">
        <f>IF(HLOOKUP("Mins",A1:CV300,103,FALSE)=0,0,HLOOKUP("Gs - BC",A1:CV300,103,FALSE)/HLOOKUP("Mins",A1:CV300,103,FALSE)* 90)</f>
      </c>
      <c r="BN103" s="12702">
        <f>IF(HLOOKUP("Mins",A1:CV300,103,FALSE)=0,0,HLOOKUP("GIB",A1:CV300,103,FALSE)/HLOOKUP("Mins",A1:CV300,103,FALSE)* 90)</f>
      </c>
      <c r="BO103" s="12703">
        <f>IF(HLOOKUP("Mins",A1:CV300,103,FALSE)=0,0,HLOOKUP("Gs - Open",A1:CV300,103,FALSE)/HLOOKUP("Mins",A1:CV300,103,FALSE)* 90)</f>
      </c>
      <c r="BP103" s="12704">
        <f>IF(HLOOKUP("Mins",A1:CV300,103,FALSE)=0,0,HLOOKUP("ICT Index",A1:CV300,103,FALSE)/HLOOKUP("Mins",A1:CV300,103,FALSE)* 90)</f>
      </c>
      <c r="BQ103" s="12705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2706">
        <f>0.0825*HLOOKUP("KP/90",A1:CV300,103,FALSE)</f>
      </c>
      <c r="BS103" s="12707">
        <f>6*HLOOKUP("xG/90",A1:CV300,103,FALSE)+3*HLOOKUP("xA/90",A1:CV300,103,FALSE)</f>
      </c>
      <c r="BT103" s="12708">
        <f>HLOOKUP("xPts/90",A1:CV300,103,FALSE)-(6*0.75*(HLOOKUP("PK Gs",A1:CV300,103,FALSE)+HLOOKUP("PK Miss",A1:CV300,103,FALSE))*90/HLOOKUP("Mins",A1:CV300,103,FALSE))</f>
      </c>
      <c r="BU103" s="12709">
        <f>IF(HLOOKUP("Mins",A1:CV300,103,FALSE)=0,0,HLOOKUP("fsXG",A1:CV300,103,FALSE)/HLOOKUP("Mins",A1:CV300,103,FALSE)* 90)</f>
      </c>
      <c r="BV103" s="12710">
        <f>IF(HLOOKUP("Mins",A1:CV300,103,FALSE)=0,0,HLOOKUP("fsXA",A1:CV300,103,FALSE)/HLOOKUP("Mins",A1:CV300,103,FALSE)* 90)</f>
      </c>
      <c r="BW103" s="12711">
        <f>6*HLOOKUP("fsXG/90",A1:CV300,103,FALSE)+3*HLOOKUP("fsXA/90",A1:CV300,103,FALSE)</f>
      </c>
      <c r="BX103" t="n" s="12712">
        <v>0.018393786624073982</v>
      </c>
      <c r="BY103" t="n" s="12713">
        <v>0.03205906227231026</v>
      </c>
      <c r="BZ103" s="12714">
        <f>6*HLOOKUP("uXG/90",A1:CV300,103,FALSE)+3*HLOOKUP("uXA/90",A1:CV300,103,FALSE)</f>
      </c>
    </row>
    <row r="104">
      <c r="A104" t="s" s="12715">
        <v>260</v>
      </c>
      <c r="B104" t="s" s="12716">
        <v>117</v>
      </c>
      <c r="C104" t="n" s="12717">
        <v>4.300000190734863</v>
      </c>
      <c r="D104" t="n" s="12718">
        <v>535.0</v>
      </c>
      <c r="E104" t="n" s="12719">
        <v>6.0</v>
      </c>
      <c r="F104" t="n" s="12720">
        <v>59.0</v>
      </c>
      <c r="G104" t="n" s="12721">
        <v>0.0</v>
      </c>
      <c r="H104" t="n" s="12722">
        <v>3.0</v>
      </c>
      <c r="I104" t="n" s="12723">
        <v>324.0</v>
      </c>
      <c r="J104" s="12724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2725">
        <v>0.0</v>
      </c>
      <c r="L104" t="n" s="12726">
        <v>7.0</v>
      </c>
      <c r="M104" t="n" s="12727">
        <v>1.0</v>
      </c>
      <c r="N104" t="n" s="12728">
        <v>0.0</v>
      </c>
      <c r="O104" t="n" s="12729">
        <v>0.0</v>
      </c>
      <c r="P104" s="12730">
        <f>IF(HLOOKUP("Shots",A1:CV300,104,FALSE)=0,0,HLOOKUP("SIB",A1:CV300,104,FALSE)/HLOOKUP("Shots",A1:CV300,104,FALSE))</f>
      </c>
      <c r="Q104" t="n" s="12731">
        <v>0.0</v>
      </c>
      <c r="R104" s="12732">
        <f>IF(HLOOKUP("Shots",A1:CV300,104,FALSE)=0,0,HLOOKUP("S6YD",A1:CV300,104,FALSE)/HLOOKUP("Shots",A1:CV300,104,FALSE))</f>
      </c>
      <c r="S104" t="n" s="12733">
        <v>0.0</v>
      </c>
      <c r="T104" s="12734">
        <f>IF(HLOOKUP("Shots",A1:CV300,104,FALSE)=0,0,HLOOKUP("Headers",A1:CV300,104,FALSE)/HLOOKUP("Shots",A1:CV300,104,FALSE))</f>
      </c>
      <c r="U104" t="n" s="12735">
        <v>0.0</v>
      </c>
      <c r="V104" s="12736">
        <f>IF(HLOOKUP("Shots",A1:CV300,104,FALSE)=0,0,HLOOKUP("SOT",A1:CV300,104,FALSE)/HLOOKUP("Shots",A1:CV300,104,FALSE))</f>
      </c>
      <c r="W104" s="12737">
        <f>IF(HLOOKUP("Shots",A1:CV300,104,FALSE)=0,0,HLOOKUP("Gs",A1:CV300,104,FALSE)/HLOOKUP("Shots",A1:CV300,104,FALSE))</f>
      </c>
      <c r="X104" t="n" s="12738">
        <v>0.0</v>
      </c>
      <c r="Y104" t="n" s="12739">
        <v>0.0</v>
      </c>
      <c r="Z104" t="n" s="12740">
        <v>0.0</v>
      </c>
      <c r="AA104" s="12741">
        <f>IF(HLOOKUP("KP",A1:CV300,104,FALSE)=0,0,HLOOKUP("As",A1:CV300,104,FALSE)/HLOOKUP("KP",A1:CV300,104,FALSE))</f>
      </c>
      <c r="AB104" t="n" s="12742">
        <v>10.2</v>
      </c>
      <c r="AC104" t="n" s="12743">
        <v>0.0</v>
      </c>
      <c r="AD104" t="n" s="12744">
        <v>0.0</v>
      </c>
      <c r="AE104" t="n" s="12745">
        <v>0.0</v>
      </c>
      <c r="AF104" t="n" s="12746">
        <v>0.0</v>
      </c>
      <c r="AG104" s="12747">
        <f>IF(HLOOKUP("BC",A1:CV300,104,FALSE)=0,0,HLOOKUP("Gs - BC",A1:CV300,104,FALSE)/HLOOKUP("BC",A1:CV300,104,FALSE))</f>
      </c>
      <c r="AH104" s="12748">
        <f>HLOOKUP("BC",A1:CV300,104,FALSE) - HLOOKUP("BC Miss",A1:CV300,104,FALSE)</f>
      </c>
      <c r="AI104" s="12749">
        <f>IF(HLOOKUP("Gs",A1:CV300,104,FALSE)=0,0,HLOOKUP("Gs - BC",A1:CV300,104,FALSE)/HLOOKUP("Gs",A1:CV300,104,FALSE))</f>
      </c>
      <c r="AJ104" t="n" s="12750">
        <v>0.0</v>
      </c>
      <c r="AK104" t="n" s="12751">
        <v>0.0</v>
      </c>
      <c r="AL104" s="12752">
        <f>HLOOKUP("BC",A1:CV300,104,FALSE) - (HLOOKUP("PK Gs",A1:CV300,104,FALSE) + HLOOKUP("PK Miss",A1:CV300,104,FALSE))</f>
      </c>
      <c r="AM104" s="12753">
        <f>HLOOKUP("BC Miss",A1:CV300,104,FALSE) - HLOOKUP("PK Miss",A1:CV300,104,FALSE)</f>
      </c>
      <c r="AN104" s="12754">
        <f>IF(HLOOKUP("BC - Open",A1:CV300,104,FALSE)=0,0,HLOOKUP("BC - Open Miss",A1:CV300,104,FALSE)/HLOOKUP("BC - Open",A1:CV300,104,FALSE))</f>
      </c>
      <c r="AO104" t="n" s="12755">
        <v>0.0</v>
      </c>
      <c r="AP104" s="12756">
        <f>IF(HLOOKUP("Gs",A1:CV300,104,FALSE)=0,0,HLOOKUP("GIB",A1:CV300,104,FALSE)/HLOOKUP("Gs",A1:CV300,104,FALSE))</f>
      </c>
      <c r="AQ104" t="n" s="12757">
        <v>0.0</v>
      </c>
      <c r="AR104" s="12758">
        <f>IF(HLOOKUP("Gs",A1:CV300,104,FALSE)=0,0,HLOOKUP("Gs - Open",A1:CV300,104,FALSE)/HLOOKUP("Gs",A1:CV300,104,FALSE))</f>
      </c>
      <c r="AS104" t="n" s="12759">
        <v>0.0</v>
      </c>
      <c r="AT104" t="n" s="12760">
        <v>0.01</v>
      </c>
      <c r="AU104" s="12761">
        <f>IF(HLOOKUP("Mins",A1:CV300,104,FALSE)=0,0,HLOOKUP("Pts",A1:CV300,104,FALSE)/HLOOKUP("Mins",A1:CV300,104,FALSE)* 90)</f>
      </c>
      <c r="AV104" s="12762">
        <f>IF(HLOOKUP("Apps",A1:CV300,104,FALSE)=0,0,HLOOKUP("Pts",A1:CV300,104,FALSE)/HLOOKUP("Apps",A1:CV300,104,FALSE)* 1)</f>
      </c>
      <c r="AW104" s="12763">
        <f>IF(HLOOKUP("Mins",A1:CV300,104,FALSE)=0,0,HLOOKUP("Gs",A1:CV300,104,FALSE)/HLOOKUP("Mins",A1:CV300,104,FALSE)* 90)</f>
      </c>
      <c r="AX104" s="12764">
        <f>IF(HLOOKUP("Mins",A1:CV300,104,FALSE)=0,0,HLOOKUP("Bonus",A1:CV300,104,FALSE)/HLOOKUP("Mins",A1:CV300,104,FALSE)* 90)</f>
      </c>
      <c r="AY104" s="12765">
        <f>IF(HLOOKUP("Mins",A1:CV300,104,FALSE)=0,0,HLOOKUP("BPS",A1:CV300,104,FALSE)/HLOOKUP("Mins",A1:CV300,104,FALSE)* 90)</f>
      </c>
      <c r="AZ104" s="12766">
        <f>IF(HLOOKUP("Mins",A1:CV300,104,FALSE)=0,0,HLOOKUP("Base BPS",A1:CV300,104,FALSE)/HLOOKUP("Mins",A1:CV300,104,FALSE)* 90)</f>
      </c>
      <c r="BA104" s="12767">
        <f>IF(HLOOKUP("Mins",A1:CV300,104,FALSE)=0,0,HLOOKUP("PenTchs",A1:CV300,104,FALSE)/HLOOKUP("Mins",A1:CV300,104,FALSE)* 90)</f>
      </c>
      <c r="BB104" s="12768">
        <f>IF(HLOOKUP("Mins",A1:CV300,104,FALSE)=0,0,HLOOKUP("Shots",A1:CV300,104,FALSE)/HLOOKUP("Mins",A1:CV300,104,FALSE)* 90)</f>
      </c>
      <c r="BC104" s="12769">
        <f>IF(HLOOKUP("Mins",A1:CV300,104,FALSE)=0,0,HLOOKUP("SIB",A1:CV300,104,FALSE)/HLOOKUP("Mins",A1:CV300,104,FALSE)* 90)</f>
      </c>
      <c r="BD104" s="12770">
        <f>IF(HLOOKUP("Mins",A1:CV300,104,FALSE)=0,0,HLOOKUP("S6YD",A1:CV300,104,FALSE)/HLOOKUP("Mins",A1:CV300,104,FALSE)* 90)</f>
      </c>
      <c r="BE104" s="12771">
        <f>IF(HLOOKUP("Mins",A1:CV300,104,FALSE)=0,0,HLOOKUP("Headers",A1:CV300,104,FALSE)/HLOOKUP("Mins",A1:CV300,104,FALSE)* 90)</f>
      </c>
      <c r="BF104" s="12772">
        <f>IF(HLOOKUP("Mins",A1:CV300,104,FALSE)=0,0,HLOOKUP("SOT",A1:CV300,104,FALSE)/HLOOKUP("Mins",A1:CV300,104,FALSE)* 90)</f>
      </c>
      <c r="BG104" s="12773">
        <f>IF(HLOOKUP("Mins",A1:CV300,104,FALSE)=0,0,HLOOKUP("As",A1:CV300,104,FALSE)/HLOOKUP("Mins",A1:CV300,104,FALSE)* 90)</f>
      </c>
      <c r="BH104" s="12774">
        <f>IF(HLOOKUP("Mins",A1:CV300,104,FALSE)=0,0,HLOOKUP("FPL As",A1:CV300,104,FALSE)/HLOOKUP("Mins",A1:CV300,104,FALSE)* 90)</f>
      </c>
      <c r="BI104" s="12775">
        <f>IF(HLOOKUP("Mins",A1:CV300,104,FALSE)=0,0,HLOOKUP("BC Created",A1:CV300,104,FALSE)/HLOOKUP("Mins",A1:CV300,104,FALSE)* 90)</f>
      </c>
      <c r="BJ104" s="12776">
        <f>IF(HLOOKUP("Mins",A1:CV300,104,FALSE)=0,0,HLOOKUP("KP",A1:CV300,104,FALSE)/HLOOKUP("Mins",A1:CV300,104,FALSE)* 90)</f>
      </c>
      <c r="BK104" s="12777">
        <f>IF(HLOOKUP("Mins",A1:CV300,104,FALSE)=0,0,HLOOKUP("BC",A1:CV300,104,FALSE)/HLOOKUP("Mins",A1:CV300,104,FALSE)* 90)</f>
      </c>
      <c r="BL104" s="12778">
        <f>IF(HLOOKUP("Mins",A1:CV300,104,FALSE)=0,0,HLOOKUP("BC Miss",A1:CV300,104,FALSE)/HLOOKUP("Mins",A1:CV300,104,FALSE)* 90)</f>
      </c>
      <c r="BM104" s="12779">
        <f>IF(HLOOKUP("Mins",A1:CV300,104,FALSE)=0,0,HLOOKUP("Gs - BC",A1:CV300,104,FALSE)/HLOOKUP("Mins",A1:CV300,104,FALSE)* 90)</f>
      </c>
      <c r="BN104" s="12780">
        <f>IF(HLOOKUP("Mins",A1:CV300,104,FALSE)=0,0,HLOOKUP("GIB",A1:CV300,104,FALSE)/HLOOKUP("Mins",A1:CV300,104,FALSE)* 90)</f>
      </c>
      <c r="BO104" s="12781">
        <f>IF(HLOOKUP("Mins",A1:CV300,104,FALSE)=0,0,HLOOKUP("Gs - Open",A1:CV300,104,FALSE)/HLOOKUP("Mins",A1:CV300,104,FALSE)* 90)</f>
      </c>
      <c r="BP104" s="12782">
        <f>IF(HLOOKUP("Mins",A1:CV300,104,FALSE)=0,0,HLOOKUP("ICT Index",A1:CV300,104,FALSE)/HLOOKUP("Mins",A1:CV300,104,FALSE)* 90)</f>
      </c>
      <c r="BQ104" s="12783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2784">
        <f>0.0825*HLOOKUP("KP/90",A1:CV300,104,FALSE)</f>
      </c>
      <c r="BS104" s="12785">
        <f>6*HLOOKUP("xG/90",A1:CV300,104,FALSE)+3*HLOOKUP("xA/90",A1:CV300,104,FALSE)</f>
      </c>
      <c r="BT104" s="12786">
        <f>HLOOKUP("xPts/90",A1:CV300,104,FALSE)-(6*0.75*(HLOOKUP("PK Gs",A1:CV300,104,FALSE)+HLOOKUP("PK Miss",A1:CV300,104,FALSE))*90/HLOOKUP("Mins",A1:CV300,104,FALSE))</f>
      </c>
      <c r="BU104" s="12787">
        <f>IF(HLOOKUP("Mins",A1:CV300,104,FALSE)=0,0,HLOOKUP("fsXG",A1:CV300,104,FALSE)/HLOOKUP("Mins",A1:CV300,104,FALSE)* 90)</f>
      </c>
      <c r="BV104" s="12788">
        <f>IF(HLOOKUP("Mins",A1:CV300,104,FALSE)=0,0,HLOOKUP("fsXA",A1:CV300,104,FALSE)/HLOOKUP("Mins",A1:CV300,104,FALSE)* 90)</f>
      </c>
      <c r="BW104" s="12789">
        <f>6*HLOOKUP("fsXG/90",A1:CV300,104,FALSE)+3*HLOOKUP("fsXA/90",A1:CV300,104,FALSE)</f>
      </c>
      <c r="BX104" t="n" s="12790">
        <v>0.0</v>
      </c>
      <c r="BY104" t="n" s="12791">
        <v>0.0</v>
      </c>
      <c r="BZ104" s="12792">
        <f>6*HLOOKUP("uXG/90",A1:CV300,104,FALSE)+3*HLOOKUP("uXA/90",A1:CV300,104,FALSE)</f>
      </c>
    </row>
    <row r="105">
      <c r="A105" t="s" s="12793">
        <v>261</v>
      </c>
      <c r="B105" t="s" s="12794">
        <v>109</v>
      </c>
      <c r="C105" t="n" s="12795">
        <v>4.0</v>
      </c>
      <c r="D105" t="n" s="12796">
        <v>83.0</v>
      </c>
      <c r="E105" t="n" s="12797">
        <v>1.0</v>
      </c>
      <c r="F105" t="n" s="12798">
        <v>4.0</v>
      </c>
      <c r="G105" t="n" s="12799">
        <v>0.0</v>
      </c>
      <c r="H105" t="n" s="12800">
        <v>0.0</v>
      </c>
      <c r="I105" t="n" s="12801">
        <v>17.0</v>
      </c>
      <c r="J105" s="12802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2803">
        <v>0.0</v>
      </c>
      <c r="L105" t="n" s="12804">
        <v>0.0</v>
      </c>
      <c r="M105" t="n" s="12805">
        <v>2.0</v>
      </c>
      <c r="N105" t="n" s="12806">
        <v>0.0</v>
      </c>
      <c r="O105" t="n" s="12807">
        <v>0.0</v>
      </c>
      <c r="P105" s="12808">
        <f>IF(HLOOKUP("Shots",A1:CV300,105,FALSE)=0,0,HLOOKUP("SIB",A1:CV300,105,FALSE)/HLOOKUP("Shots",A1:CV300,105,FALSE))</f>
      </c>
      <c r="Q105" t="n" s="12809">
        <v>0.0</v>
      </c>
      <c r="R105" s="12810">
        <f>IF(HLOOKUP("Shots",A1:CV300,105,FALSE)=0,0,HLOOKUP("S6YD",A1:CV300,105,FALSE)/HLOOKUP("Shots",A1:CV300,105,FALSE))</f>
      </c>
      <c r="S105" t="n" s="12811">
        <v>0.0</v>
      </c>
      <c r="T105" s="12812">
        <f>IF(HLOOKUP("Shots",A1:CV300,105,FALSE)=0,0,HLOOKUP("Headers",A1:CV300,105,FALSE)/HLOOKUP("Shots",A1:CV300,105,FALSE))</f>
      </c>
      <c r="U105" t="n" s="12813">
        <v>0.0</v>
      </c>
      <c r="V105" s="12814">
        <f>IF(HLOOKUP("Shots",A1:CV300,105,FALSE)=0,0,HLOOKUP("SOT",A1:CV300,105,FALSE)/HLOOKUP("Shots",A1:CV300,105,FALSE))</f>
      </c>
      <c r="W105" s="12815">
        <f>IF(HLOOKUP("Shots",A1:CV300,105,FALSE)=0,0,HLOOKUP("Gs",A1:CV300,105,FALSE)/HLOOKUP("Shots",A1:CV300,105,FALSE))</f>
      </c>
      <c r="X105" t="n" s="12816">
        <v>0.0</v>
      </c>
      <c r="Y105" t="n" s="12817">
        <v>0.0</v>
      </c>
      <c r="Z105" t="n" s="12818">
        <v>0.0</v>
      </c>
      <c r="AA105" s="12819">
        <f>IF(HLOOKUP("KP",A1:CV300,105,FALSE)=0,0,HLOOKUP("As",A1:CV300,105,FALSE)/HLOOKUP("KP",A1:CV300,105,FALSE))</f>
      </c>
      <c r="AB105" t="n" s="12820">
        <v>1.5</v>
      </c>
      <c r="AC105" t="n" s="12821">
        <v>0.0</v>
      </c>
      <c r="AD105" t="n" s="12822">
        <v>0.0</v>
      </c>
      <c r="AE105" t="n" s="12823">
        <v>0.0</v>
      </c>
      <c r="AF105" t="n" s="12824">
        <v>0.0</v>
      </c>
      <c r="AG105" s="12825">
        <f>IF(HLOOKUP("BC",A1:CV300,105,FALSE)=0,0,HLOOKUP("Gs - BC",A1:CV300,105,FALSE)/HLOOKUP("BC",A1:CV300,105,FALSE))</f>
      </c>
      <c r="AH105" s="12826">
        <f>HLOOKUP("BC",A1:CV300,105,FALSE) - HLOOKUP("BC Miss",A1:CV300,105,FALSE)</f>
      </c>
      <c r="AI105" s="12827">
        <f>IF(HLOOKUP("Gs",A1:CV300,105,FALSE)=0,0,HLOOKUP("Gs - BC",A1:CV300,105,FALSE)/HLOOKUP("Gs",A1:CV300,105,FALSE))</f>
      </c>
      <c r="AJ105" t="n" s="12828">
        <v>0.0</v>
      </c>
      <c r="AK105" t="n" s="12829">
        <v>0.0</v>
      </c>
      <c r="AL105" s="12830">
        <f>HLOOKUP("BC",A1:CV300,105,FALSE) - (HLOOKUP("PK Gs",A1:CV300,105,FALSE) + HLOOKUP("PK Miss",A1:CV300,105,FALSE))</f>
      </c>
      <c r="AM105" s="12831">
        <f>HLOOKUP("BC Miss",A1:CV300,105,FALSE) - HLOOKUP("PK Miss",A1:CV300,105,FALSE)</f>
      </c>
      <c r="AN105" s="12832">
        <f>IF(HLOOKUP("BC - Open",A1:CV300,105,FALSE)=0,0,HLOOKUP("BC - Open Miss",A1:CV300,105,FALSE)/HLOOKUP("BC - Open",A1:CV300,105,FALSE))</f>
      </c>
      <c r="AO105" t="n" s="12833">
        <v>0.0</v>
      </c>
      <c r="AP105" s="12834">
        <f>IF(HLOOKUP("Gs",A1:CV300,105,FALSE)=0,0,HLOOKUP("GIB",A1:CV300,105,FALSE)/HLOOKUP("Gs",A1:CV300,105,FALSE))</f>
      </c>
      <c r="AQ105" t="n" s="12835">
        <v>0.0</v>
      </c>
      <c r="AR105" s="12836">
        <f>IF(HLOOKUP("Gs",A1:CV300,105,FALSE)=0,0,HLOOKUP("Gs - Open",A1:CV300,105,FALSE)/HLOOKUP("Gs",A1:CV300,105,FALSE))</f>
      </c>
      <c r="AS105" t="n" s="12837">
        <v>0.0</v>
      </c>
      <c r="AT105" t="n" s="12838">
        <v>0.0</v>
      </c>
      <c r="AU105" s="12839">
        <f>IF(HLOOKUP("Mins",A1:CV300,105,FALSE)=0,0,HLOOKUP("Pts",A1:CV300,105,FALSE)/HLOOKUP("Mins",A1:CV300,105,FALSE)* 90)</f>
      </c>
      <c r="AV105" s="12840">
        <f>IF(HLOOKUP("Apps",A1:CV300,105,FALSE)=0,0,HLOOKUP("Pts",A1:CV300,105,FALSE)/HLOOKUP("Apps",A1:CV300,105,FALSE)* 1)</f>
      </c>
      <c r="AW105" s="12841">
        <f>IF(HLOOKUP("Mins",A1:CV300,105,FALSE)=0,0,HLOOKUP("Gs",A1:CV300,105,FALSE)/HLOOKUP("Mins",A1:CV300,105,FALSE)* 90)</f>
      </c>
      <c r="AX105" s="12842">
        <f>IF(HLOOKUP("Mins",A1:CV300,105,FALSE)=0,0,HLOOKUP("Bonus",A1:CV300,105,FALSE)/HLOOKUP("Mins",A1:CV300,105,FALSE)* 90)</f>
      </c>
      <c r="AY105" s="12843">
        <f>IF(HLOOKUP("Mins",A1:CV300,105,FALSE)=0,0,HLOOKUP("BPS",A1:CV300,105,FALSE)/HLOOKUP("Mins",A1:CV300,105,FALSE)* 90)</f>
      </c>
      <c r="AZ105" s="12844">
        <f>IF(HLOOKUP("Mins",A1:CV300,105,FALSE)=0,0,HLOOKUP("Base BPS",A1:CV300,105,FALSE)/HLOOKUP("Mins",A1:CV300,105,FALSE)* 90)</f>
      </c>
      <c r="BA105" s="12845">
        <f>IF(HLOOKUP("Mins",A1:CV300,105,FALSE)=0,0,HLOOKUP("PenTchs",A1:CV300,105,FALSE)/HLOOKUP("Mins",A1:CV300,105,FALSE)* 90)</f>
      </c>
      <c r="BB105" s="12846">
        <f>IF(HLOOKUP("Mins",A1:CV300,105,FALSE)=0,0,HLOOKUP("Shots",A1:CV300,105,FALSE)/HLOOKUP("Mins",A1:CV300,105,FALSE)* 90)</f>
      </c>
      <c r="BC105" s="12847">
        <f>IF(HLOOKUP("Mins",A1:CV300,105,FALSE)=0,0,HLOOKUP("SIB",A1:CV300,105,FALSE)/HLOOKUP("Mins",A1:CV300,105,FALSE)* 90)</f>
      </c>
      <c r="BD105" s="12848">
        <f>IF(HLOOKUP("Mins",A1:CV300,105,FALSE)=0,0,HLOOKUP("S6YD",A1:CV300,105,FALSE)/HLOOKUP("Mins",A1:CV300,105,FALSE)* 90)</f>
      </c>
      <c r="BE105" s="12849">
        <f>IF(HLOOKUP("Mins",A1:CV300,105,FALSE)=0,0,HLOOKUP("Headers",A1:CV300,105,FALSE)/HLOOKUP("Mins",A1:CV300,105,FALSE)* 90)</f>
      </c>
      <c r="BF105" s="12850">
        <f>IF(HLOOKUP("Mins",A1:CV300,105,FALSE)=0,0,HLOOKUP("SOT",A1:CV300,105,FALSE)/HLOOKUP("Mins",A1:CV300,105,FALSE)* 90)</f>
      </c>
      <c r="BG105" s="12851">
        <f>IF(HLOOKUP("Mins",A1:CV300,105,FALSE)=0,0,HLOOKUP("As",A1:CV300,105,FALSE)/HLOOKUP("Mins",A1:CV300,105,FALSE)* 90)</f>
      </c>
      <c r="BH105" s="12852">
        <f>IF(HLOOKUP("Mins",A1:CV300,105,FALSE)=0,0,HLOOKUP("FPL As",A1:CV300,105,FALSE)/HLOOKUP("Mins",A1:CV300,105,FALSE)* 90)</f>
      </c>
      <c r="BI105" s="12853">
        <f>IF(HLOOKUP("Mins",A1:CV300,105,FALSE)=0,0,HLOOKUP("BC Created",A1:CV300,105,FALSE)/HLOOKUP("Mins",A1:CV300,105,FALSE)* 90)</f>
      </c>
      <c r="BJ105" s="12854">
        <f>IF(HLOOKUP("Mins",A1:CV300,105,FALSE)=0,0,HLOOKUP("KP",A1:CV300,105,FALSE)/HLOOKUP("Mins",A1:CV300,105,FALSE)* 90)</f>
      </c>
      <c r="BK105" s="12855">
        <f>IF(HLOOKUP("Mins",A1:CV300,105,FALSE)=0,0,HLOOKUP("BC",A1:CV300,105,FALSE)/HLOOKUP("Mins",A1:CV300,105,FALSE)* 90)</f>
      </c>
      <c r="BL105" s="12856">
        <f>IF(HLOOKUP("Mins",A1:CV300,105,FALSE)=0,0,HLOOKUP("BC Miss",A1:CV300,105,FALSE)/HLOOKUP("Mins",A1:CV300,105,FALSE)* 90)</f>
      </c>
      <c r="BM105" s="12857">
        <f>IF(HLOOKUP("Mins",A1:CV300,105,FALSE)=0,0,HLOOKUP("Gs - BC",A1:CV300,105,FALSE)/HLOOKUP("Mins",A1:CV300,105,FALSE)* 90)</f>
      </c>
      <c r="BN105" s="12858">
        <f>IF(HLOOKUP("Mins",A1:CV300,105,FALSE)=0,0,HLOOKUP("GIB",A1:CV300,105,FALSE)/HLOOKUP("Mins",A1:CV300,105,FALSE)* 90)</f>
      </c>
      <c r="BO105" s="12859">
        <f>IF(HLOOKUP("Mins",A1:CV300,105,FALSE)=0,0,HLOOKUP("Gs - Open",A1:CV300,105,FALSE)/HLOOKUP("Mins",A1:CV300,105,FALSE)* 90)</f>
      </c>
      <c r="BP105" s="12860">
        <f>IF(HLOOKUP("Mins",A1:CV300,105,FALSE)=0,0,HLOOKUP("ICT Index",A1:CV300,105,FALSE)/HLOOKUP("Mins",A1:CV300,105,FALSE)* 90)</f>
      </c>
      <c r="BQ105" s="12861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2862">
        <f>0.0825*HLOOKUP("KP/90",A1:CV300,105,FALSE)</f>
      </c>
      <c r="BS105" s="12863">
        <f>6*HLOOKUP("xG/90",A1:CV300,105,FALSE)+3*HLOOKUP("xA/90",A1:CV300,105,FALSE)</f>
      </c>
      <c r="BT105" s="12864">
        <f>HLOOKUP("xPts/90",A1:CV300,105,FALSE)-(6*0.75*(HLOOKUP("PK Gs",A1:CV300,105,FALSE)+HLOOKUP("PK Miss",A1:CV300,105,FALSE))*90/HLOOKUP("Mins",A1:CV300,105,FALSE))</f>
      </c>
      <c r="BU105" s="12865">
        <f>IF(HLOOKUP("Mins",A1:CV300,105,FALSE)=0,0,HLOOKUP("fsXG",A1:CV300,105,FALSE)/HLOOKUP("Mins",A1:CV300,105,FALSE)* 90)</f>
      </c>
      <c r="BV105" s="12866">
        <f>IF(HLOOKUP("Mins",A1:CV300,105,FALSE)=0,0,HLOOKUP("fsXA",A1:CV300,105,FALSE)/HLOOKUP("Mins",A1:CV300,105,FALSE)* 90)</f>
      </c>
      <c r="BW105" s="12867">
        <f>6*HLOOKUP("fsXG/90",A1:CV300,105,FALSE)+3*HLOOKUP("fsXA/90",A1:CV300,105,FALSE)</f>
      </c>
      <c r="BX105" t="n" s="12868">
        <v>0.0</v>
      </c>
      <c r="BY105" t="n" s="12869">
        <v>0.0</v>
      </c>
      <c r="BZ105" s="12870">
        <f>6*HLOOKUP("uXG/90",A1:CV300,105,FALSE)+3*HLOOKUP("uXA/90",A1:CV300,105,FALSE)</f>
      </c>
    </row>
    <row r="106">
      <c r="A106" t="s" s="12871">
        <v>262</v>
      </c>
      <c r="B106" t="s" s="12872">
        <v>112</v>
      </c>
      <c r="C106" t="n" s="12873">
        <v>4.699999809265137</v>
      </c>
      <c r="D106" t="n" s="12874">
        <v>360.0</v>
      </c>
      <c r="E106" t="n" s="12875">
        <v>4.0</v>
      </c>
      <c r="F106" t="n" s="12876">
        <v>54.0</v>
      </c>
      <c r="G106" t="n" s="12877">
        <v>0.0</v>
      </c>
      <c r="H106" t="n" s="12878">
        <v>5.0</v>
      </c>
      <c r="I106" t="n" s="12879">
        <v>228.0</v>
      </c>
      <c r="J106" s="12880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2881">
        <v>0.0</v>
      </c>
      <c r="L106" t="n" s="12882">
        <v>4.0</v>
      </c>
      <c r="M106" t="n" s="12883">
        <v>6.0</v>
      </c>
      <c r="N106" t="n" s="12884">
        <v>1.0</v>
      </c>
      <c r="O106" t="n" s="12885">
        <v>0.0</v>
      </c>
      <c r="P106" s="12886">
        <f>IF(HLOOKUP("Shots",A1:CV300,106,FALSE)=0,0,HLOOKUP("SIB",A1:CV300,106,FALSE)/HLOOKUP("Shots",A1:CV300,106,FALSE))</f>
      </c>
      <c r="Q106" t="n" s="12887">
        <v>0.0</v>
      </c>
      <c r="R106" s="12888">
        <f>IF(HLOOKUP("Shots",A1:CV300,106,FALSE)=0,0,HLOOKUP("S6YD",A1:CV300,106,FALSE)/HLOOKUP("Shots",A1:CV300,106,FALSE))</f>
      </c>
      <c r="S106" t="n" s="12889">
        <v>0.0</v>
      </c>
      <c r="T106" s="12890">
        <f>IF(HLOOKUP("Shots",A1:CV300,106,FALSE)=0,0,HLOOKUP("Headers",A1:CV300,106,FALSE)/HLOOKUP("Shots",A1:CV300,106,FALSE))</f>
      </c>
      <c r="U106" t="n" s="12891">
        <v>0.0</v>
      </c>
      <c r="V106" s="12892">
        <f>IF(HLOOKUP("Shots",A1:CV300,106,FALSE)=0,0,HLOOKUP("SOT",A1:CV300,106,FALSE)/HLOOKUP("Shots",A1:CV300,106,FALSE))</f>
      </c>
      <c r="W106" s="12893">
        <f>IF(HLOOKUP("Shots",A1:CV300,106,FALSE)=0,0,HLOOKUP("Gs",A1:CV300,106,FALSE)/HLOOKUP("Shots",A1:CV300,106,FALSE))</f>
      </c>
      <c r="X106" t="n" s="12894">
        <v>0.0</v>
      </c>
      <c r="Y106" t="n" s="12895">
        <v>0.0</v>
      </c>
      <c r="Z106" t="n" s="12896">
        <v>5.0</v>
      </c>
      <c r="AA106" s="12897">
        <f>IF(HLOOKUP("KP",A1:CV300,106,FALSE)=0,0,HLOOKUP("As",A1:CV300,106,FALSE)/HLOOKUP("KP",A1:CV300,106,FALSE))</f>
      </c>
      <c r="AB106" t="n" s="12898">
        <v>15.4</v>
      </c>
      <c r="AC106" t="n" s="12899">
        <v>0.0</v>
      </c>
      <c r="AD106" t="n" s="12900">
        <v>0.0</v>
      </c>
      <c r="AE106" t="n" s="12901">
        <v>0.0</v>
      </c>
      <c r="AF106" t="n" s="12902">
        <v>0.0</v>
      </c>
      <c r="AG106" s="12903">
        <f>IF(HLOOKUP("BC",A1:CV300,106,FALSE)=0,0,HLOOKUP("Gs - BC",A1:CV300,106,FALSE)/HLOOKUP("BC",A1:CV300,106,FALSE))</f>
      </c>
      <c r="AH106" s="12904">
        <f>HLOOKUP("BC",A1:CV300,106,FALSE) - HLOOKUP("BC Miss",A1:CV300,106,FALSE)</f>
      </c>
      <c r="AI106" s="12905">
        <f>IF(HLOOKUP("Gs",A1:CV300,106,FALSE)=0,0,HLOOKUP("Gs - BC",A1:CV300,106,FALSE)/HLOOKUP("Gs",A1:CV300,106,FALSE))</f>
      </c>
      <c r="AJ106" t="n" s="12906">
        <v>0.0</v>
      </c>
      <c r="AK106" t="n" s="12907">
        <v>0.0</v>
      </c>
      <c r="AL106" s="12908">
        <f>HLOOKUP("BC",A1:CV300,106,FALSE) - (HLOOKUP("PK Gs",A1:CV300,106,FALSE) + HLOOKUP("PK Miss",A1:CV300,106,FALSE))</f>
      </c>
      <c r="AM106" s="12909">
        <f>HLOOKUP("BC Miss",A1:CV300,106,FALSE) - HLOOKUP("PK Miss",A1:CV300,106,FALSE)</f>
      </c>
      <c r="AN106" s="12910">
        <f>IF(HLOOKUP("BC - Open",A1:CV300,106,FALSE)=0,0,HLOOKUP("BC - Open Miss",A1:CV300,106,FALSE)/HLOOKUP("BC - Open",A1:CV300,106,FALSE))</f>
      </c>
      <c r="AO106" t="n" s="12911">
        <v>0.0</v>
      </c>
      <c r="AP106" s="12912">
        <f>IF(HLOOKUP("Gs",A1:CV300,106,FALSE)=0,0,HLOOKUP("GIB",A1:CV300,106,FALSE)/HLOOKUP("Gs",A1:CV300,106,FALSE))</f>
      </c>
      <c r="AQ106" t="n" s="12913">
        <v>0.0</v>
      </c>
      <c r="AR106" s="12914">
        <f>IF(HLOOKUP("Gs",A1:CV300,106,FALSE)=0,0,HLOOKUP("Gs - Open",A1:CV300,106,FALSE)/HLOOKUP("Gs",A1:CV300,106,FALSE))</f>
      </c>
      <c r="AS106" t="n" s="12915">
        <v>0.05</v>
      </c>
      <c r="AT106" t="n" s="12916">
        <v>0.42</v>
      </c>
      <c r="AU106" s="12917">
        <f>IF(HLOOKUP("Mins",A1:CV300,106,FALSE)=0,0,HLOOKUP("Pts",A1:CV300,106,FALSE)/HLOOKUP("Mins",A1:CV300,106,FALSE)* 90)</f>
      </c>
      <c r="AV106" s="12918">
        <f>IF(HLOOKUP("Apps",A1:CV300,106,FALSE)=0,0,HLOOKUP("Pts",A1:CV300,106,FALSE)/HLOOKUP("Apps",A1:CV300,106,FALSE)* 1)</f>
      </c>
      <c r="AW106" s="12919">
        <f>IF(HLOOKUP("Mins",A1:CV300,106,FALSE)=0,0,HLOOKUP("Gs",A1:CV300,106,FALSE)/HLOOKUP("Mins",A1:CV300,106,FALSE)* 90)</f>
      </c>
      <c r="AX106" s="12920">
        <f>IF(HLOOKUP("Mins",A1:CV300,106,FALSE)=0,0,HLOOKUP("Bonus",A1:CV300,106,FALSE)/HLOOKUP("Mins",A1:CV300,106,FALSE)* 90)</f>
      </c>
      <c r="AY106" s="12921">
        <f>IF(HLOOKUP("Mins",A1:CV300,106,FALSE)=0,0,HLOOKUP("BPS",A1:CV300,106,FALSE)/HLOOKUP("Mins",A1:CV300,106,FALSE)* 90)</f>
      </c>
      <c r="AZ106" s="12922">
        <f>IF(HLOOKUP("Mins",A1:CV300,106,FALSE)=0,0,HLOOKUP("Base BPS",A1:CV300,106,FALSE)/HLOOKUP("Mins",A1:CV300,106,FALSE)* 90)</f>
      </c>
      <c r="BA106" s="12923">
        <f>IF(HLOOKUP("Mins",A1:CV300,106,FALSE)=0,0,HLOOKUP("PenTchs",A1:CV300,106,FALSE)/HLOOKUP("Mins",A1:CV300,106,FALSE)* 90)</f>
      </c>
      <c r="BB106" s="12924">
        <f>IF(HLOOKUP("Mins",A1:CV300,106,FALSE)=0,0,HLOOKUP("Shots",A1:CV300,106,FALSE)/HLOOKUP("Mins",A1:CV300,106,FALSE)* 90)</f>
      </c>
      <c r="BC106" s="12925">
        <f>IF(HLOOKUP("Mins",A1:CV300,106,FALSE)=0,0,HLOOKUP("SIB",A1:CV300,106,FALSE)/HLOOKUP("Mins",A1:CV300,106,FALSE)* 90)</f>
      </c>
      <c r="BD106" s="12926">
        <f>IF(HLOOKUP("Mins",A1:CV300,106,FALSE)=0,0,HLOOKUP("S6YD",A1:CV300,106,FALSE)/HLOOKUP("Mins",A1:CV300,106,FALSE)* 90)</f>
      </c>
      <c r="BE106" s="12927">
        <f>IF(HLOOKUP("Mins",A1:CV300,106,FALSE)=0,0,HLOOKUP("Headers",A1:CV300,106,FALSE)/HLOOKUP("Mins",A1:CV300,106,FALSE)* 90)</f>
      </c>
      <c r="BF106" s="12928">
        <f>IF(HLOOKUP("Mins",A1:CV300,106,FALSE)=0,0,HLOOKUP("SOT",A1:CV300,106,FALSE)/HLOOKUP("Mins",A1:CV300,106,FALSE)* 90)</f>
      </c>
      <c r="BG106" s="12929">
        <f>IF(HLOOKUP("Mins",A1:CV300,106,FALSE)=0,0,HLOOKUP("As",A1:CV300,106,FALSE)/HLOOKUP("Mins",A1:CV300,106,FALSE)* 90)</f>
      </c>
      <c r="BH106" s="12930">
        <f>IF(HLOOKUP("Mins",A1:CV300,106,FALSE)=0,0,HLOOKUP("FPL As",A1:CV300,106,FALSE)/HLOOKUP("Mins",A1:CV300,106,FALSE)* 90)</f>
      </c>
      <c r="BI106" s="12931">
        <f>IF(HLOOKUP("Mins",A1:CV300,106,FALSE)=0,0,HLOOKUP("BC Created",A1:CV300,106,FALSE)/HLOOKUP("Mins",A1:CV300,106,FALSE)* 90)</f>
      </c>
      <c r="BJ106" s="12932">
        <f>IF(HLOOKUP("Mins",A1:CV300,106,FALSE)=0,0,HLOOKUP("KP",A1:CV300,106,FALSE)/HLOOKUP("Mins",A1:CV300,106,FALSE)* 90)</f>
      </c>
      <c r="BK106" s="12933">
        <f>IF(HLOOKUP("Mins",A1:CV300,106,FALSE)=0,0,HLOOKUP("BC",A1:CV300,106,FALSE)/HLOOKUP("Mins",A1:CV300,106,FALSE)* 90)</f>
      </c>
      <c r="BL106" s="12934">
        <f>IF(HLOOKUP("Mins",A1:CV300,106,FALSE)=0,0,HLOOKUP("BC Miss",A1:CV300,106,FALSE)/HLOOKUP("Mins",A1:CV300,106,FALSE)* 90)</f>
      </c>
      <c r="BM106" s="12935">
        <f>IF(HLOOKUP("Mins",A1:CV300,106,FALSE)=0,0,HLOOKUP("Gs - BC",A1:CV300,106,FALSE)/HLOOKUP("Mins",A1:CV300,106,FALSE)* 90)</f>
      </c>
      <c r="BN106" s="12936">
        <f>IF(HLOOKUP("Mins",A1:CV300,106,FALSE)=0,0,HLOOKUP("GIB",A1:CV300,106,FALSE)/HLOOKUP("Mins",A1:CV300,106,FALSE)* 90)</f>
      </c>
      <c r="BO106" s="12937">
        <f>IF(HLOOKUP("Mins",A1:CV300,106,FALSE)=0,0,HLOOKUP("Gs - Open",A1:CV300,106,FALSE)/HLOOKUP("Mins",A1:CV300,106,FALSE)* 90)</f>
      </c>
      <c r="BP106" s="12938">
        <f>IF(HLOOKUP("Mins",A1:CV300,106,FALSE)=0,0,HLOOKUP("ICT Index",A1:CV300,106,FALSE)/HLOOKUP("Mins",A1:CV300,106,FALSE)* 90)</f>
      </c>
      <c r="BQ106" s="12939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2940">
        <f>0.0825*HLOOKUP("KP/90",A1:CV300,106,FALSE)</f>
      </c>
      <c r="BS106" s="12941">
        <f>6*HLOOKUP("xG/90",A1:CV300,106,FALSE)+3*HLOOKUP("xA/90",A1:CV300,106,FALSE)</f>
      </c>
      <c r="BT106" s="12942">
        <f>HLOOKUP("xPts/90",A1:CV300,106,FALSE)-(6*0.75*(HLOOKUP("PK Gs",A1:CV300,106,FALSE)+HLOOKUP("PK Miss",A1:CV300,106,FALSE))*90/HLOOKUP("Mins",A1:CV300,106,FALSE))</f>
      </c>
      <c r="BU106" s="12943">
        <f>IF(HLOOKUP("Mins",A1:CV300,106,FALSE)=0,0,HLOOKUP("fsXG",A1:CV300,106,FALSE)/HLOOKUP("Mins",A1:CV300,106,FALSE)* 90)</f>
      </c>
      <c r="BV106" s="12944">
        <f>IF(HLOOKUP("Mins",A1:CV300,106,FALSE)=0,0,HLOOKUP("fsXA",A1:CV300,106,FALSE)/HLOOKUP("Mins",A1:CV300,106,FALSE)* 90)</f>
      </c>
      <c r="BW106" s="12945">
        <f>6*HLOOKUP("fsXG/90",A1:CV300,106,FALSE)+3*HLOOKUP("fsXA/90",A1:CV300,106,FALSE)</f>
      </c>
      <c r="BX106" t="n" s="12946">
        <v>0.010894687846302986</v>
      </c>
      <c r="BY106" t="n" s="12947">
        <v>0.08877967298030853</v>
      </c>
      <c r="BZ106" s="12948">
        <f>6*HLOOKUP("uXG/90",A1:CV300,106,FALSE)+3*HLOOKUP("uXA/90",A1:CV300,106,FALSE)</f>
      </c>
    </row>
    <row r="107">
      <c r="A107" t="s" s="12949">
        <v>263</v>
      </c>
      <c r="B107" t="s" s="12950">
        <v>80</v>
      </c>
      <c r="C107" t="n" s="12951">
        <v>4.400000095367432</v>
      </c>
      <c r="D107" t="n" s="12952">
        <v>203.0</v>
      </c>
      <c r="E107" t="n" s="12953">
        <v>3.0</v>
      </c>
      <c r="F107" t="n" s="12954">
        <v>42.0</v>
      </c>
      <c r="G107" t="n" s="12955">
        <v>0.0</v>
      </c>
      <c r="H107" t="n" s="12956">
        <v>5.0</v>
      </c>
      <c r="I107" t="n" s="12957">
        <v>197.0</v>
      </c>
      <c r="J107" s="12958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2959">
        <v>0.0</v>
      </c>
      <c r="L107" t="n" s="12960">
        <v>3.0</v>
      </c>
      <c r="M107" t="n" s="12961">
        <v>3.0</v>
      </c>
      <c r="N107" t="n" s="12962">
        <v>2.0</v>
      </c>
      <c r="O107" t="n" s="12963">
        <v>2.0</v>
      </c>
      <c r="P107" s="12964">
        <f>IF(HLOOKUP("Shots",A1:CV300,107,FALSE)=0,0,HLOOKUP("SIB",A1:CV300,107,FALSE)/HLOOKUP("Shots",A1:CV300,107,FALSE))</f>
      </c>
      <c r="Q107" t="n" s="12965">
        <v>0.0</v>
      </c>
      <c r="R107" s="12966">
        <f>IF(HLOOKUP("Shots",A1:CV300,107,FALSE)=0,0,HLOOKUP("S6YD",A1:CV300,107,FALSE)/HLOOKUP("Shots",A1:CV300,107,FALSE))</f>
      </c>
      <c r="S107" t="n" s="12967">
        <v>2.0</v>
      </c>
      <c r="T107" s="12968">
        <f>IF(HLOOKUP("Shots",A1:CV300,107,FALSE)=0,0,HLOOKUP("Headers",A1:CV300,107,FALSE)/HLOOKUP("Shots",A1:CV300,107,FALSE))</f>
      </c>
      <c r="U107" t="n" s="12969">
        <v>0.0</v>
      </c>
      <c r="V107" s="12970">
        <f>IF(HLOOKUP("Shots",A1:CV300,107,FALSE)=0,0,HLOOKUP("SOT",A1:CV300,107,FALSE)/HLOOKUP("Shots",A1:CV300,107,FALSE))</f>
      </c>
      <c r="W107" s="12971">
        <f>IF(HLOOKUP("Shots",A1:CV300,107,FALSE)=0,0,HLOOKUP("Gs",A1:CV300,107,FALSE)/HLOOKUP("Shots",A1:CV300,107,FALSE))</f>
      </c>
      <c r="X107" t="n" s="12972">
        <v>1.0</v>
      </c>
      <c r="Y107" t="n" s="12973">
        <v>1.0</v>
      </c>
      <c r="Z107" t="n" s="12974">
        <v>2.0</v>
      </c>
      <c r="AA107" s="12975">
        <f>IF(HLOOKUP("KP",A1:CV300,107,FALSE)=0,0,HLOOKUP("As",A1:CV300,107,FALSE)/HLOOKUP("KP",A1:CV300,107,FALSE))</f>
      </c>
      <c r="AB107" t="n" s="12976">
        <v>10.3</v>
      </c>
      <c r="AC107" t="n" s="12977">
        <v>100.0</v>
      </c>
      <c r="AD107" t="n" s="12978">
        <v>2.0</v>
      </c>
      <c r="AE107" t="n" s="12979">
        <v>0.0</v>
      </c>
      <c r="AF107" t="n" s="12980">
        <v>0.0</v>
      </c>
      <c r="AG107" s="12981">
        <f>IF(HLOOKUP("BC",A1:CV300,107,FALSE)=0,0,HLOOKUP("Gs - BC",A1:CV300,107,FALSE)/HLOOKUP("BC",A1:CV300,107,FALSE))</f>
      </c>
      <c r="AH107" s="12982">
        <f>HLOOKUP("BC",A1:CV300,107,FALSE) - HLOOKUP("BC Miss",A1:CV300,107,FALSE)</f>
      </c>
      <c r="AI107" s="12983">
        <f>IF(HLOOKUP("Gs",A1:CV300,107,FALSE)=0,0,HLOOKUP("Gs - BC",A1:CV300,107,FALSE)/HLOOKUP("Gs",A1:CV300,107,FALSE))</f>
      </c>
      <c r="AJ107" t="n" s="12984">
        <v>0.0</v>
      </c>
      <c r="AK107" t="n" s="12985">
        <v>0.0</v>
      </c>
      <c r="AL107" s="12986">
        <f>HLOOKUP("BC",A1:CV300,107,FALSE) - (HLOOKUP("PK Gs",A1:CV300,107,FALSE) + HLOOKUP("PK Miss",A1:CV300,107,FALSE))</f>
      </c>
      <c r="AM107" s="12987">
        <f>HLOOKUP("BC Miss",A1:CV300,107,FALSE) - HLOOKUP("PK Miss",A1:CV300,107,FALSE)</f>
      </c>
      <c r="AN107" s="12988">
        <f>IF(HLOOKUP("BC - Open",A1:CV300,107,FALSE)=0,0,HLOOKUP("BC - Open Miss",A1:CV300,107,FALSE)/HLOOKUP("BC - Open",A1:CV300,107,FALSE))</f>
      </c>
      <c r="AO107" t="n" s="12989">
        <v>0.0</v>
      </c>
      <c r="AP107" s="12990">
        <f>IF(HLOOKUP("Gs",A1:CV300,107,FALSE)=0,0,HLOOKUP("GIB",A1:CV300,107,FALSE)/HLOOKUP("Gs",A1:CV300,107,FALSE))</f>
      </c>
      <c r="AQ107" t="n" s="12991">
        <v>0.0</v>
      </c>
      <c r="AR107" s="12992">
        <f>IF(HLOOKUP("Gs",A1:CV300,107,FALSE)=0,0,HLOOKUP("Gs - Open",A1:CV300,107,FALSE)/HLOOKUP("Gs",A1:CV300,107,FALSE))</f>
      </c>
      <c r="AS107" t="n" s="12993">
        <v>0.1</v>
      </c>
      <c r="AT107" t="n" s="12994">
        <v>0.01</v>
      </c>
      <c r="AU107" s="12995">
        <f>IF(HLOOKUP("Mins",A1:CV300,107,FALSE)=0,0,HLOOKUP("Pts",A1:CV300,107,FALSE)/HLOOKUP("Mins",A1:CV300,107,FALSE)* 90)</f>
      </c>
      <c r="AV107" s="12996">
        <f>IF(HLOOKUP("Apps",A1:CV300,107,FALSE)=0,0,HLOOKUP("Pts",A1:CV300,107,FALSE)/HLOOKUP("Apps",A1:CV300,107,FALSE)* 1)</f>
      </c>
      <c r="AW107" s="12997">
        <f>IF(HLOOKUP("Mins",A1:CV300,107,FALSE)=0,0,HLOOKUP("Gs",A1:CV300,107,FALSE)/HLOOKUP("Mins",A1:CV300,107,FALSE)* 90)</f>
      </c>
      <c r="AX107" s="12998">
        <f>IF(HLOOKUP("Mins",A1:CV300,107,FALSE)=0,0,HLOOKUP("Bonus",A1:CV300,107,FALSE)/HLOOKUP("Mins",A1:CV300,107,FALSE)* 90)</f>
      </c>
      <c r="AY107" s="12999">
        <f>IF(HLOOKUP("Mins",A1:CV300,107,FALSE)=0,0,HLOOKUP("BPS",A1:CV300,107,FALSE)/HLOOKUP("Mins",A1:CV300,107,FALSE)* 90)</f>
      </c>
      <c r="AZ107" s="13000">
        <f>IF(HLOOKUP("Mins",A1:CV300,107,FALSE)=0,0,HLOOKUP("Base BPS",A1:CV300,107,FALSE)/HLOOKUP("Mins",A1:CV300,107,FALSE)* 90)</f>
      </c>
      <c r="BA107" s="13001">
        <f>IF(HLOOKUP("Mins",A1:CV300,107,FALSE)=0,0,HLOOKUP("PenTchs",A1:CV300,107,FALSE)/HLOOKUP("Mins",A1:CV300,107,FALSE)* 90)</f>
      </c>
      <c r="BB107" s="13002">
        <f>IF(HLOOKUP("Mins",A1:CV300,107,FALSE)=0,0,HLOOKUP("Shots",A1:CV300,107,FALSE)/HLOOKUP("Mins",A1:CV300,107,FALSE)* 90)</f>
      </c>
      <c r="BC107" s="13003">
        <f>IF(HLOOKUP("Mins",A1:CV300,107,FALSE)=0,0,HLOOKUP("SIB",A1:CV300,107,FALSE)/HLOOKUP("Mins",A1:CV300,107,FALSE)* 90)</f>
      </c>
      <c r="BD107" s="13004">
        <f>IF(HLOOKUP("Mins",A1:CV300,107,FALSE)=0,0,HLOOKUP("S6YD",A1:CV300,107,FALSE)/HLOOKUP("Mins",A1:CV300,107,FALSE)* 90)</f>
      </c>
      <c r="BE107" s="13005">
        <f>IF(HLOOKUP("Mins",A1:CV300,107,FALSE)=0,0,HLOOKUP("Headers",A1:CV300,107,FALSE)/HLOOKUP("Mins",A1:CV300,107,FALSE)* 90)</f>
      </c>
      <c r="BF107" s="13006">
        <f>IF(HLOOKUP("Mins",A1:CV300,107,FALSE)=0,0,HLOOKUP("SOT",A1:CV300,107,FALSE)/HLOOKUP("Mins",A1:CV300,107,FALSE)* 90)</f>
      </c>
      <c r="BG107" s="13007">
        <f>IF(HLOOKUP("Mins",A1:CV300,107,FALSE)=0,0,HLOOKUP("As",A1:CV300,107,FALSE)/HLOOKUP("Mins",A1:CV300,107,FALSE)* 90)</f>
      </c>
      <c r="BH107" s="13008">
        <f>IF(HLOOKUP("Mins",A1:CV300,107,FALSE)=0,0,HLOOKUP("FPL As",A1:CV300,107,FALSE)/HLOOKUP("Mins",A1:CV300,107,FALSE)* 90)</f>
      </c>
      <c r="BI107" s="13009">
        <f>IF(HLOOKUP("Mins",A1:CV300,107,FALSE)=0,0,HLOOKUP("BC Created",A1:CV300,107,FALSE)/HLOOKUP("Mins",A1:CV300,107,FALSE)* 90)</f>
      </c>
      <c r="BJ107" s="13010">
        <f>IF(HLOOKUP("Mins",A1:CV300,107,FALSE)=0,0,HLOOKUP("KP",A1:CV300,107,FALSE)/HLOOKUP("Mins",A1:CV300,107,FALSE)* 90)</f>
      </c>
      <c r="BK107" s="13011">
        <f>IF(HLOOKUP("Mins",A1:CV300,107,FALSE)=0,0,HLOOKUP("BC",A1:CV300,107,FALSE)/HLOOKUP("Mins",A1:CV300,107,FALSE)* 90)</f>
      </c>
      <c r="BL107" s="13012">
        <f>IF(HLOOKUP("Mins",A1:CV300,107,FALSE)=0,0,HLOOKUP("BC Miss",A1:CV300,107,FALSE)/HLOOKUP("Mins",A1:CV300,107,FALSE)* 90)</f>
      </c>
      <c r="BM107" s="13013">
        <f>IF(HLOOKUP("Mins",A1:CV300,107,FALSE)=0,0,HLOOKUP("Gs - BC",A1:CV300,107,FALSE)/HLOOKUP("Mins",A1:CV300,107,FALSE)* 90)</f>
      </c>
      <c r="BN107" s="13014">
        <f>IF(HLOOKUP("Mins",A1:CV300,107,FALSE)=0,0,HLOOKUP("GIB",A1:CV300,107,FALSE)/HLOOKUP("Mins",A1:CV300,107,FALSE)* 90)</f>
      </c>
      <c r="BO107" s="13015">
        <f>IF(HLOOKUP("Mins",A1:CV300,107,FALSE)=0,0,HLOOKUP("Gs - Open",A1:CV300,107,FALSE)/HLOOKUP("Mins",A1:CV300,107,FALSE)* 90)</f>
      </c>
      <c r="BP107" s="13016">
        <f>IF(HLOOKUP("Mins",A1:CV300,107,FALSE)=0,0,HLOOKUP("ICT Index",A1:CV300,107,FALSE)/HLOOKUP("Mins",A1:CV300,107,FALSE)* 90)</f>
      </c>
      <c r="BQ107" s="13017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3018">
        <f>0.0825*HLOOKUP("KP/90",A1:CV300,107,FALSE)</f>
      </c>
      <c r="BS107" s="13019">
        <f>6*HLOOKUP("xG/90",A1:CV300,107,FALSE)+3*HLOOKUP("xA/90",A1:CV300,107,FALSE)</f>
      </c>
      <c r="BT107" s="13020">
        <f>HLOOKUP("xPts/90",A1:CV300,107,FALSE)-(6*0.75*(HLOOKUP("PK Gs",A1:CV300,107,FALSE)+HLOOKUP("PK Miss",A1:CV300,107,FALSE))*90/HLOOKUP("Mins",A1:CV300,107,FALSE))</f>
      </c>
      <c r="BU107" s="13021">
        <f>IF(HLOOKUP("Mins",A1:CV300,107,FALSE)=0,0,HLOOKUP("fsXG",A1:CV300,107,FALSE)/HLOOKUP("Mins",A1:CV300,107,FALSE)* 90)</f>
      </c>
      <c r="BV107" s="13022">
        <f>IF(HLOOKUP("Mins",A1:CV300,107,FALSE)=0,0,HLOOKUP("fsXA",A1:CV300,107,FALSE)/HLOOKUP("Mins",A1:CV300,107,FALSE)* 90)</f>
      </c>
      <c r="BW107" s="13023">
        <f>6*HLOOKUP("fsXG/90",A1:CV300,107,FALSE)+3*HLOOKUP("fsXA/90",A1:CV300,107,FALSE)</f>
      </c>
      <c r="BX107" t="n" s="13024">
        <v>0.04613097384572029</v>
      </c>
      <c r="BY107" t="n" s="13025">
        <v>0.4409724771976471</v>
      </c>
      <c r="BZ107" s="13026">
        <f>6*HLOOKUP("uXG/90",A1:CV300,107,FALSE)+3*HLOOKUP("uXA/90",A1:CV300,107,FALSE)</f>
      </c>
    </row>
    <row r="108">
      <c r="A108" t="s" s="13027">
        <v>264</v>
      </c>
      <c r="B108" t="s" s="13028">
        <v>80</v>
      </c>
      <c r="C108" t="n" s="13029">
        <v>4.900000095367432</v>
      </c>
      <c r="D108" t="n" s="13030">
        <v>347.0</v>
      </c>
      <c r="E108" t="n" s="13031">
        <v>4.0</v>
      </c>
      <c r="F108" t="n" s="13032">
        <v>52.0</v>
      </c>
      <c r="G108" t="n" s="13033">
        <v>1.0</v>
      </c>
      <c r="H108" t="n" s="13034">
        <v>5.0</v>
      </c>
      <c r="I108" t="n" s="13035">
        <v>286.0</v>
      </c>
      <c r="J108" s="13036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3037">
        <v>0.0</v>
      </c>
      <c r="L108" t="n" s="13038">
        <v>3.0</v>
      </c>
      <c r="M108" t="n" s="13039">
        <v>2.0</v>
      </c>
      <c r="N108" t="n" s="13040">
        <v>1.0</v>
      </c>
      <c r="O108" t="n" s="13041">
        <v>1.0</v>
      </c>
      <c r="P108" s="13042">
        <f>IF(HLOOKUP("Shots",A1:CV300,108,FALSE)=0,0,HLOOKUP("SIB",A1:CV300,108,FALSE)/HLOOKUP("Shots",A1:CV300,108,FALSE))</f>
      </c>
      <c r="Q108" t="n" s="13043">
        <v>1.0</v>
      </c>
      <c r="R108" s="13044">
        <f>IF(HLOOKUP("Shots",A1:CV300,108,FALSE)=0,0,HLOOKUP("S6YD",A1:CV300,108,FALSE)/HLOOKUP("Shots",A1:CV300,108,FALSE))</f>
      </c>
      <c r="S108" t="n" s="13045">
        <v>0.0</v>
      </c>
      <c r="T108" s="13046">
        <f>IF(HLOOKUP("Shots",A1:CV300,108,FALSE)=0,0,HLOOKUP("Headers",A1:CV300,108,FALSE)/HLOOKUP("Shots",A1:CV300,108,FALSE))</f>
      </c>
      <c r="U108" t="n" s="13047">
        <v>1.0</v>
      </c>
      <c r="V108" s="13048">
        <f>IF(HLOOKUP("Shots",A1:CV300,108,FALSE)=0,0,HLOOKUP("SOT",A1:CV300,108,FALSE)/HLOOKUP("Shots",A1:CV300,108,FALSE))</f>
      </c>
      <c r="W108" s="13049">
        <f>IF(HLOOKUP("Shots",A1:CV300,108,FALSE)=0,0,HLOOKUP("Gs",A1:CV300,108,FALSE)/HLOOKUP("Shots",A1:CV300,108,FALSE))</f>
      </c>
      <c r="X108" t="n" s="13050">
        <v>0.0</v>
      </c>
      <c r="Y108" t="n" s="13051">
        <v>0.0</v>
      </c>
      <c r="Z108" t="n" s="13052">
        <v>0.0</v>
      </c>
      <c r="AA108" s="13053">
        <f>IF(HLOOKUP("KP",A1:CV300,108,FALSE)=0,0,HLOOKUP("As",A1:CV300,108,FALSE)/HLOOKUP("KP",A1:CV300,108,FALSE))</f>
      </c>
      <c r="AB108" t="n" s="13054">
        <v>13.9</v>
      </c>
      <c r="AC108" t="n" s="13055">
        <v>25.0</v>
      </c>
      <c r="AD108" t="n" s="13056">
        <v>0.0</v>
      </c>
      <c r="AE108" t="n" s="13057">
        <v>1.0</v>
      </c>
      <c r="AF108" t="n" s="13058">
        <v>0.0</v>
      </c>
      <c r="AG108" s="13059">
        <f>IF(HLOOKUP("BC",A1:CV300,108,FALSE)=0,0,HLOOKUP("Gs - BC",A1:CV300,108,FALSE)/HLOOKUP("BC",A1:CV300,108,FALSE))</f>
      </c>
      <c r="AH108" s="13060">
        <f>HLOOKUP("BC",A1:CV300,108,FALSE) - HLOOKUP("BC Miss",A1:CV300,108,FALSE)</f>
      </c>
      <c r="AI108" s="13061">
        <f>IF(HLOOKUP("Gs",A1:CV300,108,FALSE)=0,0,HLOOKUP("Gs - BC",A1:CV300,108,FALSE)/HLOOKUP("Gs",A1:CV300,108,FALSE))</f>
      </c>
      <c r="AJ108" t="n" s="13062">
        <v>0.0</v>
      </c>
      <c r="AK108" t="n" s="13063">
        <v>0.0</v>
      </c>
      <c r="AL108" s="13064">
        <f>HLOOKUP("BC",A1:CV300,108,FALSE) - (HLOOKUP("PK Gs",A1:CV300,108,FALSE) + HLOOKUP("PK Miss",A1:CV300,108,FALSE))</f>
      </c>
      <c r="AM108" s="13065">
        <f>HLOOKUP("BC Miss",A1:CV300,108,FALSE) - HLOOKUP("PK Miss",A1:CV300,108,FALSE)</f>
      </c>
      <c r="AN108" s="13066">
        <f>IF(HLOOKUP("BC - Open",A1:CV300,108,FALSE)=0,0,HLOOKUP("BC - Open Miss",A1:CV300,108,FALSE)/HLOOKUP("BC - Open",A1:CV300,108,FALSE))</f>
      </c>
      <c r="AO108" t="n" s="13067">
        <v>1.0</v>
      </c>
      <c r="AP108" s="13068">
        <f>IF(HLOOKUP("Gs",A1:CV300,108,FALSE)=0,0,HLOOKUP("GIB",A1:CV300,108,FALSE)/HLOOKUP("Gs",A1:CV300,108,FALSE))</f>
      </c>
      <c r="AQ108" t="n" s="13069">
        <v>0.0</v>
      </c>
      <c r="AR108" s="13070">
        <f>IF(HLOOKUP("Gs",A1:CV300,108,FALSE)=0,0,HLOOKUP("Gs - Open",A1:CV300,108,FALSE)/HLOOKUP("Gs",A1:CV300,108,FALSE))</f>
      </c>
      <c r="AS108" t="n" s="13071">
        <v>0.61</v>
      </c>
      <c r="AT108" t="n" s="13072">
        <v>0.01</v>
      </c>
      <c r="AU108" s="13073">
        <f>IF(HLOOKUP("Mins",A1:CV300,108,FALSE)=0,0,HLOOKUP("Pts",A1:CV300,108,FALSE)/HLOOKUP("Mins",A1:CV300,108,FALSE)* 90)</f>
      </c>
      <c r="AV108" s="13074">
        <f>IF(HLOOKUP("Apps",A1:CV300,108,FALSE)=0,0,HLOOKUP("Pts",A1:CV300,108,FALSE)/HLOOKUP("Apps",A1:CV300,108,FALSE)* 1)</f>
      </c>
      <c r="AW108" s="13075">
        <f>IF(HLOOKUP("Mins",A1:CV300,108,FALSE)=0,0,HLOOKUP("Gs",A1:CV300,108,FALSE)/HLOOKUP("Mins",A1:CV300,108,FALSE)* 90)</f>
      </c>
      <c r="AX108" s="13076">
        <f>IF(HLOOKUP("Mins",A1:CV300,108,FALSE)=0,0,HLOOKUP("Bonus",A1:CV300,108,FALSE)/HLOOKUP("Mins",A1:CV300,108,FALSE)* 90)</f>
      </c>
      <c r="AY108" s="13077">
        <f>IF(HLOOKUP("Mins",A1:CV300,108,FALSE)=0,0,HLOOKUP("BPS",A1:CV300,108,FALSE)/HLOOKUP("Mins",A1:CV300,108,FALSE)* 90)</f>
      </c>
      <c r="AZ108" s="13078">
        <f>IF(HLOOKUP("Mins",A1:CV300,108,FALSE)=0,0,HLOOKUP("Base BPS",A1:CV300,108,FALSE)/HLOOKUP("Mins",A1:CV300,108,FALSE)* 90)</f>
      </c>
      <c r="BA108" s="13079">
        <f>IF(HLOOKUP("Mins",A1:CV300,108,FALSE)=0,0,HLOOKUP("PenTchs",A1:CV300,108,FALSE)/HLOOKUP("Mins",A1:CV300,108,FALSE)* 90)</f>
      </c>
      <c r="BB108" s="13080">
        <f>IF(HLOOKUP("Mins",A1:CV300,108,FALSE)=0,0,HLOOKUP("Shots",A1:CV300,108,FALSE)/HLOOKUP("Mins",A1:CV300,108,FALSE)* 90)</f>
      </c>
      <c r="BC108" s="13081">
        <f>IF(HLOOKUP("Mins",A1:CV300,108,FALSE)=0,0,HLOOKUP("SIB",A1:CV300,108,FALSE)/HLOOKUP("Mins",A1:CV300,108,FALSE)* 90)</f>
      </c>
      <c r="BD108" s="13082">
        <f>IF(HLOOKUP("Mins",A1:CV300,108,FALSE)=0,0,HLOOKUP("S6YD",A1:CV300,108,FALSE)/HLOOKUP("Mins",A1:CV300,108,FALSE)* 90)</f>
      </c>
      <c r="BE108" s="13083">
        <f>IF(HLOOKUP("Mins",A1:CV300,108,FALSE)=0,0,HLOOKUP("Headers",A1:CV300,108,FALSE)/HLOOKUP("Mins",A1:CV300,108,FALSE)* 90)</f>
      </c>
      <c r="BF108" s="13084">
        <f>IF(HLOOKUP("Mins",A1:CV300,108,FALSE)=0,0,HLOOKUP("SOT",A1:CV300,108,FALSE)/HLOOKUP("Mins",A1:CV300,108,FALSE)* 90)</f>
      </c>
      <c r="BG108" s="13085">
        <f>IF(HLOOKUP("Mins",A1:CV300,108,FALSE)=0,0,HLOOKUP("As",A1:CV300,108,FALSE)/HLOOKUP("Mins",A1:CV300,108,FALSE)* 90)</f>
      </c>
      <c r="BH108" s="13086">
        <f>IF(HLOOKUP("Mins",A1:CV300,108,FALSE)=0,0,HLOOKUP("FPL As",A1:CV300,108,FALSE)/HLOOKUP("Mins",A1:CV300,108,FALSE)* 90)</f>
      </c>
      <c r="BI108" s="13087">
        <f>IF(HLOOKUP("Mins",A1:CV300,108,FALSE)=0,0,HLOOKUP("BC Created",A1:CV300,108,FALSE)/HLOOKUP("Mins",A1:CV300,108,FALSE)* 90)</f>
      </c>
      <c r="BJ108" s="13088">
        <f>IF(HLOOKUP("Mins",A1:CV300,108,FALSE)=0,0,HLOOKUP("KP",A1:CV300,108,FALSE)/HLOOKUP("Mins",A1:CV300,108,FALSE)* 90)</f>
      </c>
      <c r="BK108" s="13089">
        <f>IF(HLOOKUP("Mins",A1:CV300,108,FALSE)=0,0,HLOOKUP("BC",A1:CV300,108,FALSE)/HLOOKUP("Mins",A1:CV300,108,FALSE)* 90)</f>
      </c>
      <c r="BL108" s="13090">
        <f>IF(HLOOKUP("Mins",A1:CV300,108,FALSE)=0,0,HLOOKUP("BC Miss",A1:CV300,108,FALSE)/HLOOKUP("Mins",A1:CV300,108,FALSE)* 90)</f>
      </c>
      <c r="BM108" s="13091">
        <f>IF(HLOOKUP("Mins",A1:CV300,108,FALSE)=0,0,HLOOKUP("Gs - BC",A1:CV300,108,FALSE)/HLOOKUP("Mins",A1:CV300,108,FALSE)* 90)</f>
      </c>
      <c r="BN108" s="13092">
        <f>IF(HLOOKUP("Mins",A1:CV300,108,FALSE)=0,0,HLOOKUP("GIB",A1:CV300,108,FALSE)/HLOOKUP("Mins",A1:CV300,108,FALSE)* 90)</f>
      </c>
      <c r="BO108" s="13093">
        <f>IF(HLOOKUP("Mins",A1:CV300,108,FALSE)=0,0,HLOOKUP("Gs - Open",A1:CV300,108,FALSE)/HLOOKUP("Mins",A1:CV300,108,FALSE)* 90)</f>
      </c>
      <c r="BP108" s="13094">
        <f>IF(HLOOKUP("Mins",A1:CV300,108,FALSE)=0,0,HLOOKUP("ICT Index",A1:CV300,108,FALSE)/HLOOKUP("Mins",A1:CV300,108,FALSE)* 90)</f>
      </c>
      <c r="BQ108" s="13095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3096">
        <f>0.0825*HLOOKUP("KP/90",A1:CV300,108,FALSE)</f>
      </c>
      <c r="BS108" s="13097">
        <f>6*HLOOKUP("xG/90",A1:CV300,108,FALSE)+3*HLOOKUP("xA/90",A1:CV300,108,FALSE)</f>
      </c>
      <c r="BT108" s="13098">
        <f>HLOOKUP("xPts/90",A1:CV300,108,FALSE)-(6*0.75*(HLOOKUP("PK Gs",A1:CV300,108,FALSE)+HLOOKUP("PK Miss",A1:CV300,108,FALSE))*90/HLOOKUP("Mins",A1:CV300,108,FALSE))</f>
      </c>
      <c r="BU108" s="13099">
        <f>IF(HLOOKUP("Mins",A1:CV300,108,FALSE)=0,0,HLOOKUP("fsXG",A1:CV300,108,FALSE)/HLOOKUP("Mins",A1:CV300,108,FALSE)* 90)</f>
      </c>
      <c r="BV108" s="13100">
        <f>IF(HLOOKUP("Mins",A1:CV300,108,FALSE)=0,0,HLOOKUP("fsXA",A1:CV300,108,FALSE)/HLOOKUP("Mins",A1:CV300,108,FALSE)* 90)</f>
      </c>
      <c r="BW108" s="13101">
        <f>6*HLOOKUP("fsXG/90",A1:CV300,108,FALSE)+3*HLOOKUP("fsXA/90",A1:CV300,108,FALSE)</f>
      </c>
      <c r="BX108" t="n" s="13102">
        <v>0.20440207421779633</v>
      </c>
      <c r="BY108" t="n" s="13103">
        <v>0.0</v>
      </c>
      <c r="BZ108" s="13104">
        <f>6*HLOOKUP("uXG/90",A1:CV300,108,FALSE)+3*HLOOKUP("uXA/90",A1:CV300,108,FALSE)</f>
      </c>
    </row>
    <row r="109">
      <c r="A109" t="s" s="13105">
        <v>265</v>
      </c>
      <c r="B109" t="s" s="13106">
        <v>147</v>
      </c>
      <c r="C109" t="n" s="13107">
        <v>4.0</v>
      </c>
      <c r="D109" t="n" s="13108">
        <v>31.0</v>
      </c>
      <c r="E109" t="n" s="13109">
        <v>1.0</v>
      </c>
      <c r="F109" t="n" s="13110">
        <v>1.0</v>
      </c>
      <c r="G109" t="n" s="13111">
        <v>0.0</v>
      </c>
      <c r="H109" t="n" s="13112">
        <v>0.0</v>
      </c>
      <c r="I109" t="n" s="13113">
        <v>8.0</v>
      </c>
      <c r="J109" s="13114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3115">
        <v>0.0</v>
      </c>
      <c r="L109" t="n" s="13116">
        <v>0.0</v>
      </c>
      <c r="M109" t="n" s="13117">
        <v>1.0</v>
      </c>
      <c r="N109" t="n" s="13118">
        <v>0.0</v>
      </c>
      <c r="O109" t="n" s="13119">
        <v>0.0</v>
      </c>
      <c r="P109" s="13120">
        <f>IF(HLOOKUP("Shots",A1:CV300,109,FALSE)=0,0,HLOOKUP("SIB",A1:CV300,109,FALSE)/HLOOKUP("Shots",A1:CV300,109,FALSE))</f>
      </c>
      <c r="Q109" t="n" s="13121">
        <v>0.0</v>
      </c>
      <c r="R109" s="13122">
        <f>IF(HLOOKUP("Shots",A1:CV300,109,FALSE)=0,0,HLOOKUP("S6YD",A1:CV300,109,FALSE)/HLOOKUP("Shots",A1:CV300,109,FALSE))</f>
      </c>
      <c r="S109" t="n" s="13123">
        <v>0.0</v>
      </c>
      <c r="T109" s="13124">
        <f>IF(HLOOKUP("Shots",A1:CV300,109,FALSE)=0,0,HLOOKUP("Headers",A1:CV300,109,FALSE)/HLOOKUP("Shots",A1:CV300,109,FALSE))</f>
      </c>
      <c r="U109" t="n" s="13125">
        <v>0.0</v>
      </c>
      <c r="V109" s="13126">
        <f>IF(HLOOKUP("Shots",A1:CV300,109,FALSE)=0,0,HLOOKUP("SOT",A1:CV300,109,FALSE)/HLOOKUP("Shots",A1:CV300,109,FALSE))</f>
      </c>
      <c r="W109" s="13127">
        <f>IF(HLOOKUP("Shots",A1:CV300,109,FALSE)=0,0,HLOOKUP("Gs",A1:CV300,109,FALSE)/HLOOKUP("Shots",A1:CV300,109,FALSE))</f>
      </c>
      <c r="X109" t="n" s="13128">
        <v>0.0</v>
      </c>
      <c r="Y109" t="n" s="13129">
        <v>0.0</v>
      </c>
      <c r="Z109" t="n" s="13130">
        <v>1.0</v>
      </c>
      <c r="AA109" s="13131">
        <f>IF(HLOOKUP("KP",A1:CV300,109,FALSE)=0,0,HLOOKUP("As",A1:CV300,109,FALSE)/HLOOKUP("KP",A1:CV300,109,FALSE))</f>
      </c>
      <c r="AB109" t="n" s="13132">
        <v>2.0</v>
      </c>
      <c r="AC109" t="n" s="13133">
        <v>0.0</v>
      </c>
      <c r="AD109" t="n" s="13134">
        <v>0.0</v>
      </c>
      <c r="AE109" t="n" s="13135">
        <v>0.0</v>
      </c>
      <c r="AF109" t="n" s="13136">
        <v>0.0</v>
      </c>
      <c r="AG109" s="13137">
        <f>IF(HLOOKUP("BC",A1:CV300,109,FALSE)=0,0,HLOOKUP("Gs - BC",A1:CV300,109,FALSE)/HLOOKUP("BC",A1:CV300,109,FALSE))</f>
      </c>
      <c r="AH109" s="13138">
        <f>HLOOKUP("BC",A1:CV300,109,FALSE) - HLOOKUP("BC Miss",A1:CV300,109,FALSE)</f>
      </c>
      <c r="AI109" s="13139">
        <f>IF(HLOOKUP("Gs",A1:CV300,109,FALSE)=0,0,HLOOKUP("Gs - BC",A1:CV300,109,FALSE)/HLOOKUP("Gs",A1:CV300,109,FALSE))</f>
      </c>
      <c r="AJ109" t="n" s="13140">
        <v>0.0</v>
      </c>
      <c r="AK109" t="n" s="13141">
        <v>0.0</v>
      </c>
      <c r="AL109" s="13142">
        <f>HLOOKUP("BC",A1:CV300,109,FALSE) - (HLOOKUP("PK Gs",A1:CV300,109,FALSE) + HLOOKUP("PK Miss",A1:CV300,109,FALSE))</f>
      </c>
      <c r="AM109" s="13143">
        <f>HLOOKUP("BC Miss",A1:CV300,109,FALSE) - HLOOKUP("PK Miss",A1:CV300,109,FALSE)</f>
      </c>
      <c r="AN109" s="13144">
        <f>IF(HLOOKUP("BC - Open",A1:CV300,109,FALSE)=0,0,HLOOKUP("BC - Open Miss",A1:CV300,109,FALSE)/HLOOKUP("BC - Open",A1:CV300,109,FALSE))</f>
      </c>
      <c r="AO109" t="n" s="13145">
        <v>0.0</v>
      </c>
      <c r="AP109" s="13146">
        <f>IF(HLOOKUP("Gs",A1:CV300,109,FALSE)=0,0,HLOOKUP("GIB",A1:CV300,109,FALSE)/HLOOKUP("Gs",A1:CV300,109,FALSE))</f>
      </c>
      <c r="AQ109" t="n" s="13147">
        <v>0.0</v>
      </c>
      <c r="AR109" s="13148">
        <f>IF(HLOOKUP("Gs",A1:CV300,109,FALSE)=0,0,HLOOKUP("Gs - Open",A1:CV300,109,FALSE)/HLOOKUP("Gs",A1:CV300,109,FALSE))</f>
      </c>
      <c r="AS109" t="n" s="13149">
        <v>0.0</v>
      </c>
      <c r="AT109" t="n" s="13150">
        <v>0.03</v>
      </c>
      <c r="AU109" s="13151">
        <f>IF(HLOOKUP("Mins",A1:CV300,109,FALSE)=0,0,HLOOKUP("Pts",A1:CV300,109,FALSE)/HLOOKUP("Mins",A1:CV300,109,FALSE)* 90)</f>
      </c>
      <c r="AV109" s="13152">
        <f>IF(HLOOKUP("Apps",A1:CV300,109,FALSE)=0,0,HLOOKUP("Pts",A1:CV300,109,FALSE)/HLOOKUP("Apps",A1:CV300,109,FALSE)* 1)</f>
      </c>
      <c r="AW109" s="13153">
        <f>IF(HLOOKUP("Mins",A1:CV300,109,FALSE)=0,0,HLOOKUP("Gs",A1:CV300,109,FALSE)/HLOOKUP("Mins",A1:CV300,109,FALSE)* 90)</f>
      </c>
      <c r="AX109" s="13154">
        <f>IF(HLOOKUP("Mins",A1:CV300,109,FALSE)=0,0,HLOOKUP("Bonus",A1:CV300,109,FALSE)/HLOOKUP("Mins",A1:CV300,109,FALSE)* 90)</f>
      </c>
      <c r="AY109" s="13155">
        <f>IF(HLOOKUP("Mins",A1:CV300,109,FALSE)=0,0,HLOOKUP("BPS",A1:CV300,109,FALSE)/HLOOKUP("Mins",A1:CV300,109,FALSE)* 90)</f>
      </c>
      <c r="AZ109" s="13156">
        <f>IF(HLOOKUP("Mins",A1:CV300,109,FALSE)=0,0,HLOOKUP("Base BPS",A1:CV300,109,FALSE)/HLOOKUP("Mins",A1:CV300,109,FALSE)* 90)</f>
      </c>
      <c r="BA109" s="13157">
        <f>IF(HLOOKUP("Mins",A1:CV300,109,FALSE)=0,0,HLOOKUP("PenTchs",A1:CV300,109,FALSE)/HLOOKUP("Mins",A1:CV300,109,FALSE)* 90)</f>
      </c>
      <c r="BB109" s="13158">
        <f>IF(HLOOKUP("Mins",A1:CV300,109,FALSE)=0,0,HLOOKUP("Shots",A1:CV300,109,FALSE)/HLOOKUP("Mins",A1:CV300,109,FALSE)* 90)</f>
      </c>
      <c r="BC109" s="13159">
        <f>IF(HLOOKUP("Mins",A1:CV300,109,FALSE)=0,0,HLOOKUP("SIB",A1:CV300,109,FALSE)/HLOOKUP("Mins",A1:CV300,109,FALSE)* 90)</f>
      </c>
      <c r="BD109" s="13160">
        <f>IF(HLOOKUP("Mins",A1:CV300,109,FALSE)=0,0,HLOOKUP("S6YD",A1:CV300,109,FALSE)/HLOOKUP("Mins",A1:CV300,109,FALSE)* 90)</f>
      </c>
      <c r="BE109" s="13161">
        <f>IF(HLOOKUP("Mins",A1:CV300,109,FALSE)=0,0,HLOOKUP("Headers",A1:CV300,109,FALSE)/HLOOKUP("Mins",A1:CV300,109,FALSE)* 90)</f>
      </c>
      <c r="BF109" s="13162">
        <f>IF(HLOOKUP("Mins",A1:CV300,109,FALSE)=0,0,HLOOKUP("SOT",A1:CV300,109,FALSE)/HLOOKUP("Mins",A1:CV300,109,FALSE)* 90)</f>
      </c>
      <c r="BG109" s="13163">
        <f>IF(HLOOKUP("Mins",A1:CV300,109,FALSE)=0,0,HLOOKUP("As",A1:CV300,109,FALSE)/HLOOKUP("Mins",A1:CV300,109,FALSE)* 90)</f>
      </c>
      <c r="BH109" s="13164">
        <f>IF(HLOOKUP("Mins",A1:CV300,109,FALSE)=0,0,HLOOKUP("FPL As",A1:CV300,109,FALSE)/HLOOKUP("Mins",A1:CV300,109,FALSE)* 90)</f>
      </c>
      <c r="BI109" s="13165">
        <f>IF(HLOOKUP("Mins",A1:CV300,109,FALSE)=0,0,HLOOKUP("BC Created",A1:CV300,109,FALSE)/HLOOKUP("Mins",A1:CV300,109,FALSE)* 90)</f>
      </c>
      <c r="BJ109" s="13166">
        <f>IF(HLOOKUP("Mins",A1:CV300,109,FALSE)=0,0,HLOOKUP("KP",A1:CV300,109,FALSE)/HLOOKUP("Mins",A1:CV300,109,FALSE)* 90)</f>
      </c>
      <c r="BK109" s="13167">
        <f>IF(HLOOKUP("Mins",A1:CV300,109,FALSE)=0,0,HLOOKUP("BC",A1:CV300,109,FALSE)/HLOOKUP("Mins",A1:CV300,109,FALSE)* 90)</f>
      </c>
      <c r="BL109" s="13168">
        <f>IF(HLOOKUP("Mins",A1:CV300,109,FALSE)=0,0,HLOOKUP("BC Miss",A1:CV300,109,FALSE)/HLOOKUP("Mins",A1:CV300,109,FALSE)* 90)</f>
      </c>
      <c r="BM109" s="13169">
        <f>IF(HLOOKUP("Mins",A1:CV300,109,FALSE)=0,0,HLOOKUP("Gs - BC",A1:CV300,109,FALSE)/HLOOKUP("Mins",A1:CV300,109,FALSE)* 90)</f>
      </c>
      <c r="BN109" s="13170">
        <f>IF(HLOOKUP("Mins",A1:CV300,109,FALSE)=0,0,HLOOKUP("GIB",A1:CV300,109,FALSE)/HLOOKUP("Mins",A1:CV300,109,FALSE)* 90)</f>
      </c>
      <c r="BO109" s="13171">
        <f>IF(HLOOKUP("Mins",A1:CV300,109,FALSE)=0,0,HLOOKUP("Gs - Open",A1:CV300,109,FALSE)/HLOOKUP("Mins",A1:CV300,109,FALSE)* 90)</f>
      </c>
      <c r="BP109" s="13172">
        <f>IF(HLOOKUP("Mins",A1:CV300,109,FALSE)=0,0,HLOOKUP("ICT Index",A1:CV300,109,FALSE)/HLOOKUP("Mins",A1:CV300,109,FALSE)* 90)</f>
      </c>
      <c r="BQ109" s="13173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3174">
        <f>0.0825*HLOOKUP("KP/90",A1:CV300,109,FALSE)</f>
      </c>
      <c r="BS109" s="13175">
        <f>6*HLOOKUP("xG/90",A1:CV300,109,FALSE)+3*HLOOKUP("xA/90",A1:CV300,109,FALSE)</f>
      </c>
      <c r="BT109" s="13176">
        <f>HLOOKUP("xPts/90",A1:CV300,109,FALSE)-(6*0.75*(HLOOKUP("PK Gs",A1:CV300,109,FALSE)+HLOOKUP("PK Miss",A1:CV300,109,FALSE))*90/HLOOKUP("Mins",A1:CV300,109,FALSE))</f>
      </c>
      <c r="BU109" s="13177">
        <f>IF(HLOOKUP("Mins",A1:CV300,109,FALSE)=0,0,HLOOKUP("fsXG",A1:CV300,109,FALSE)/HLOOKUP("Mins",A1:CV300,109,FALSE)* 90)</f>
      </c>
      <c r="BV109" s="13178">
        <f>IF(HLOOKUP("Mins",A1:CV300,109,FALSE)=0,0,HLOOKUP("fsXA",A1:CV300,109,FALSE)/HLOOKUP("Mins",A1:CV300,109,FALSE)* 90)</f>
      </c>
      <c r="BW109" s="13179">
        <f>6*HLOOKUP("fsXG/90",A1:CV300,109,FALSE)+3*HLOOKUP("fsXA/90",A1:CV300,109,FALSE)</f>
      </c>
      <c r="BX109" t="n" s="13180">
        <v>0.0</v>
      </c>
      <c r="BY109" t="n" s="13181">
        <v>0.23938561975955963</v>
      </c>
      <c r="BZ109" s="13182">
        <f>6*HLOOKUP("uXG/90",A1:CV300,109,FALSE)+3*HLOOKUP("uXA/90",A1:CV300,109,FALSE)</f>
      </c>
    </row>
    <row r="110">
      <c r="A110" t="s" s="13183">
        <v>266</v>
      </c>
      <c r="B110" t="s" s="13184">
        <v>112</v>
      </c>
      <c r="C110" t="n" s="13185">
        <v>4.400000095367432</v>
      </c>
      <c r="D110" t="n" s="13186">
        <v>92.0</v>
      </c>
      <c r="E110" t="n" s="13187">
        <v>2.0</v>
      </c>
      <c r="F110" t="n" s="13188">
        <v>28.0</v>
      </c>
      <c r="G110" t="n" s="13189">
        <v>0.0</v>
      </c>
      <c r="H110" t="n" s="13190">
        <v>2.0</v>
      </c>
      <c r="I110" t="n" s="13191">
        <v>186.0</v>
      </c>
      <c r="J110" s="13192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3193">
        <v>0.0</v>
      </c>
      <c r="L110" t="n" s="13194">
        <v>3.0</v>
      </c>
      <c r="M110" t="n" s="13195">
        <v>0.0</v>
      </c>
      <c r="N110" t="n" s="13196">
        <v>0.0</v>
      </c>
      <c r="O110" t="n" s="13197">
        <v>0.0</v>
      </c>
      <c r="P110" s="13198">
        <f>IF(HLOOKUP("Shots",A1:CV300,110,FALSE)=0,0,HLOOKUP("SIB",A1:CV300,110,FALSE)/HLOOKUP("Shots",A1:CV300,110,FALSE))</f>
      </c>
      <c r="Q110" t="n" s="13199">
        <v>0.0</v>
      </c>
      <c r="R110" s="13200">
        <f>IF(HLOOKUP("Shots",A1:CV300,110,FALSE)=0,0,HLOOKUP("S6YD",A1:CV300,110,FALSE)/HLOOKUP("Shots",A1:CV300,110,FALSE))</f>
      </c>
      <c r="S110" t="n" s="13201">
        <v>0.0</v>
      </c>
      <c r="T110" s="13202">
        <f>IF(HLOOKUP("Shots",A1:CV300,110,FALSE)=0,0,HLOOKUP("Headers",A1:CV300,110,FALSE)/HLOOKUP("Shots",A1:CV300,110,FALSE))</f>
      </c>
      <c r="U110" t="n" s="13203">
        <v>0.0</v>
      </c>
      <c r="V110" s="13204">
        <f>IF(HLOOKUP("Shots",A1:CV300,110,FALSE)=0,0,HLOOKUP("SOT",A1:CV300,110,FALSE)/HLOOKUP("Shots",A1:CV300,110,FALSE))</f>
      </c>
      <c r="W110" s="13205">
        <f>IF(HLOOKUP("Shots",A1:CV300,110,FALSE)=0,0,HLOOKUP("Gs",A1:CV300,110,FALSE)/HLOOKUP("Shots",A1:CV300,110,FALSE))</f>
      </c>
      <c r="X110" t="n" s="13206">
        <v>0.0</v>
      </c>
      <c r="Y110" t="n" s="13207">
        <v>0.0</v>
      </c>
      <c r="Z110" t="n" s="13208">
        <v>0.0</v>
      </c>
      <c r="AA110" s="13209">
        <f>IF(HLOOKUP("KP",A1:CV300,110,FALSE)=0,0,HLOOKUP("As",A1:CV300,110,FALSE)/HLOOKUP("KP",A1:CV300,110,FALSE))</f>
      </c>
      <c r="AB110" t="n" s="13210">
        <v>3.0</v>
      </c>
      <c r="AC110" t="n" s="13211">
        <v>0.0</v>
      </c>
      <c r="AD110" t="n" s="13212">
        <v>0.0</v>
      </c>
      <c r="AE110" t="n" s="13213">
        <v>0.0</v>
      </c>
      <c r="AF110" t="n" s="13214">
        <v>0.0</v>
      </c>
      <c r="AG110" s="13215">
        <f>IF(HLOOKUP("BC",A1:CV300,110,FALSE)=0,0,HLOOKUP("Gs - BC",A1:CV300,110,FALSE)/HLOOKUP("BC",A1:CV300,110,FALSE))</f>
      </c>
      <c r="AH110" s="13216">
        <f>HLOOKUP("BC",A1:CV300,110,FALSE) - HLOOKUP("BC Miss",A1:CV300,110,FALSE)</f>
      </c>
      <c r="AI110" s="13217">
        <f>IF(HLOOKUP("Gs",A1:CV300,110,FALSE)=0,0,HLOOKUP("Gs - BC",A1:CV300,110,FALSE)/HLOOKUP("Gs",A1:CV300,110,FALSE))</f>
      </c>
      <c r="AJ110" t="n" s="13218">
        <v>0.0</v>
      </c>
      <c r="AK110" t="n" s="13219">
        <v>0.0</v>
      </c>
      <c r="AL110" s="13220">
        <f>HLOOKUP("BC",A1:CV300,110,FALSE) - (HLOOKUP("PK Gs",A1:CV300,110,FALSE) + HLOOKUP("PK Miss",A1:CV300,110,FALSE))</f>
      </c>
      <c r="AM110" s="13221">
        <f>HLOOKUP("BC Miss",A1:CV300,110,FALSE) - HLOOKUP("PK Miss",A1:CV300,110,FALSE)</f>
      </c>
      <c r="AN110" s="13222">
        <f>IF(HLOOKUP("BC - Open",A1:CV300,110,FALSE)=0,0,HLOOKUP("BC - Open Miss",A1:CV300,110,FALSE)/HLOOKUP("BC - Open",A1:CV300,110,FALSE))</f>
      </c>
      <c r="AO110" t="n" s="13223">
        <v>0.0</v>
      </c>
      <c r="AP110" s="13224">
        <f>IF(HLOOKUP("Gs",A1:CV300,110,FALSE)=0,0,HLOOKUP("GIB",A1:CV300,110,FALSE)/HLOOKUP("Gs",A1:CV300,110,FALSE))</f>
      </c>
      <c r="AQ110" t="n" s="13225">
        <v>0.0</v>
      </c>
      <c r="AR110" s="13226">
        <f>IF(HLOOKUP("Gs",A1:CV300,110,FALSE)=0,0,HLOOKUP("Gs - Open",A1:CV300,110,FALSE)/HLOOKUP("Gs",A1:CV300,110,FALSE))</f>
      </c>
      <c r="AS110" t="n" s="13227">
        <v>0.0</v>
      </c>
      <c r="AT110" t="n" s="13228">
        <v>0.0</v>
      </c>
      <c r="AU110" s="13229">
        <f>IF(HLOOKUP("Mins",A1:CV300,110,FALSE)=0,0,HLOOKUP("Pts",A1:CV300,110,FALSE)/HLOOKUP("Mins",A1:CV300,110,FALSE)* 90)</f>
      </c>
      <c r="AV110" s="13230">
        <f>IF(HLOOKUP("Apps",A1:CV300,110,FALSE)=0,0,HLOOKUP("Pts",A1:CV300,110,FALSE)/HLOOKUP("Apps",A1:CV300,110,FALSE)* 1)</f>
      </c>
      <c r="AW110" s="13231">
        <f>IF(HLOOKUP("Mins",A1:CV300,110,FALSE)=0,0,HLOOKUP("Gs",A1:CV300,110,FALSE)/HLOOKUP("Mins",A1:CV300,110,FALSE)* 90)</f>
      </c>
      <c r="AX110" s="13232">
        <f>IF(HLOOKUP("Mins",A1:CV300,110,FALSE)=0,0,HLOOKUP("Bonus",A1:CV300,110,FALSE)/HLOOKUP("Mins",A1:CV300,110,FALSE)* 90)</f>
      </c>
      <c r="AY110" s="13233">
        <f>IF(HLOOKUP("Mins",A1:CV300,110,FALSE)=0,0,HLOOKUP("BPS",A1:CV300,110,FALSE)/HLOOKUP("Mins",A1:CV300,110,FALSE)* 90)</f>
      </c>
      <c r="AZ110" s="13234">
        <f>IF(HLOOKUP("Mins",A1:CV300,110,FALSE)=0,0,HLOOKUP("Base BPS",A1:CV300,110,FALSE)/HLOOKUP("Mins",A1:CV300,110,FALSE)* 90)</f>
      </c>
      <c r="BA110" s="13235">
        <f>IF(HLOOKUP("Mins",A1:CV300,110,FALSE)=0,0,HLOOKUP("PenTchs",A1:CV300,110,FALSE)/HLOOKUP("Mins",A1:CV300,110,FALSE)* 90)</f>
      </c>
      <c r="BB110" s="13236">
        <f>IF(HLOOKUP("Mins",A1:CV300,110,FALSE)=0,0,HLOOKUP("Shots",A1:CV300,110,FALSE)/HLOOKUP("Mins",A1:CV300,110,FALSE)* 90)</f>
      </c>
      <c r="BC110" s="13237">
        <f>IF(HLOOKUP("Mins",A1:CV300,110,FALSE)=0,0,HLOOKUP("SIB",A1:CV300,110,FALSE)/HLOOKUP("Mins",A1:CV300,110,FALSE)* 90)</f>
      </c>
      <c r="BD110" s="13238">
        <f>IF(HLOOKUP("Mins",A1:CV300,110,FALSE)=0,0,HLOOKUP("S6YD",A1:CV300,110,FALSE)/HLOOKUP("Mins",A1:CV300,110,FALSE)* 90)</f>
      </c>
      <c r="BE110" s="13239">
        <f>IF(HLOOKUP("Mins",A1:CV300,110,FALSE)=0,0,HLOOKUP("Headers",A1:CV300,110,FALSE)/HLOOKUP("Mins",A1:CV300,110,FALSE)* 90)</f>
      </c>
      <c r="BF110" s="13240">
        <f>IF(HLOOKUP("Mins",A1:CV300,110,FALSE)=0,0,HLOOKUP("SOT",A1:CV300,110,FALSE)/HLOOKUP("Mins",A1:CV300,110,FALSE)* 90)</f>
      </c>
      <c r="BG110" s="13241">
        <f>IF(HLOOKUP("Mins",A1:CV300,110,FALSE)=0,0,HLOOKUP("As",A1:CV300,110,FALSE)/HLOOKUP("Mins",A1:CV300,110,FALSE)* 90)</f>
      </c>
      <c r="BH110" s="13242">
        <f>IF(HLOOKUP("Mins",A1:CV300,110,FALSE)=0,0,HLOOKUP("FPL As",A1:CV300,110,FALSE)/HLOOKUP("Mins",A1:CV300,110,FALSE)* 90)</f>
      </c>
      <c r="BI110" s="13243">
        <f>IF(HLOOKUP("Mins",A1:CV300,110,FALSE)=0,0,HLOOKUP("BC Created",A1:CV300,110,FALSE)/HLOOKUP("Mins",A1:CV300,110,FALSE)* 90)</f>
      </c>
      <c r="BJ110" s="13244">
        <f>IF(HLOOKUP("Mins",A1:CV300,110,FALSE)=0,0,HLOOKUP("KP",A1:CV300,110,FALSE)/HLOOKUP("Mins",A1:CV300,110,FALSE)* 90)</f>
      </c>
      <c r="BK110" s="13245">
        <f>IF(HLOOKUP("Mins",A1:CV300,110,FALSE)=0,0,HLOOKUP("BC",A1:CV300,110,FALSE)/HLOOKUP("Mins",A1:CV300,110,FALSE)* 90)</f>
      </c>
      <c r="BL110" s="13246">
        <f>IF(HLOOKUP("Mins",A1:CV300,110,FALSE)=0,0,HLOOKUP("BC Miss",A1:CV300,110,FALSE)/HLOOKUP("Mins",A1:CV300,110,FALSE)* 90)</f>
      </c>
      <c r="BM110" s="13247">
        <f>IF(HLOOKUP("Mins",A1:CV300,110,FALSE)=0,0,HLOOKUP("Gs - BC",A1:CV300,110,FALSE)/HLOOKUP("Mins",A1:CV300,110,FALSE)* 90)</f>
      </c>
      <c r="BN110" s="13248">
        <f>IF(HLOOKUP("Mins",A1:CV300,110,FALSE)=0,0,HLOOKUP("GIB",A1:CV300,110,FALSE)/HLOOKUP("Mins",A1:CV300,110,FALSE)* 90)</f>
      </c>
      <c r="BO110" s="13249">
        <f>IF(HLOOKUP("Mins",A1:CV300,110,FALSE)=0,0,HLOOKUP("Gs - Open",A1:CV300,110,FALSE)/HLOOKUP("Mins",A1:CV300,110,FALSE)* 90)</f>
      </c>
      <c r="BP110" s="13250">
        <f>IF(HLOOKUP("Mins",A1:CV300,110,FALSE)=0,0,HLOOKUP("ICT Index",A1:CV300,110,FALSE)/HLOOKUP("Mins",A1:CV300,110,FALSE)* 90)</f>
      </c>
      <c r="BQ110" s="13251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3252">
        <f>0.0825*HLOOKUP("KP/90",A1:CV300,110,FALSE)</f>
      </c>
      <c r="BS110" s="13253">
        <f>6*HLOOKUP("xG/90",A1:CV300,110,FALSE)+3*HLOOKUP("xA/90",A1:CV300,110,FALSE)</f>
      </c>
      <c r="BT110" s="13254">
        <f>HLOOKUP("xPts/90",A1:CV300,110,FALSE)-(6*0.75*(HLOOKUP("PK Gs",A1:CV300,110,FALSE)+HLOOKUP("PK Miss",A1:CV300,110,FALSE))*90/HLOOKUP("Mins",A1:CV300,110,FALSE))</f>
      </c>
      <c r="BU110" s="13255">
        <f>IF(HLOOKUP("Mins",A1:CV300,110,FALSE)=0,0,HLOOKUP("fsXG",A1:CV300,110,FALSE)/HLOOKUP("Mins",A1:CV300,110,FALSE)* 90)</f>
      </c>
      <c r="BV110" s="13256">
        <f>IF(HLOOKUP("Mins",A1:CV300,110,FALSE)=0,0,HLOOKUP("fsXA",A1:CV300,110,FALSE)/HLOOKUP("Mins",A1:CV300,110,FALSE)* 90)</f>
      </c>
      <c r="BW110" s="13257">
        <f>6*HLOOKUP("fsXG/90",A1:CV300,110,FALSE)+3*HLOOKUP("fsXA/90",A1:CV300,110,FALSE)</f>
      </c>
      <c r="BX110" t="n" s="13258">
        <v>0.0</v>
      </c>
      <c r="BY110" t="n" s="13259">
        <v>0.0</v>
      </c>
      <c r="BZ110" s="13260">
        <f>6*HLOOKUP("uXG/90",A1:CV300,110,FALSE)+3*HLOOKUP("uXA/90",A1:CV300,110,FALSE)</f>
      </c>
    </row>
    <row r="111">
      <c r="A111" t="s" s="13261">
        <v>267</v>
      </c>
      <c r="B111" t="s" s="13262">
        <v>85</v>
      </c>
      <c r="C111" t="n" s="13263">
        <v>4.5</v>
      </c>
      <c r="D111" t="n" s="13264">
        <v>540.0</v>
      </c>
      <c r="E111" t="n" s="13265">
        <v>6.0</v>
      </c>
      <c r="F111" t="n" s="13266">
        <v>70.0</v>
      </c>
      <c r="G111" t="n" s="13267">
        <v>0.0</v>
      </c>
      <c r="H111" t="n" s="13268">
        <v>3.0</v>
      </c>
      <c r="I111" t="n" s="13269">
        <v>338.0</v>
      </c>
      <c r="J111" s="13270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3271">
        <v>0.0</v>
      </c>
      <c r="L111" t="n" s="13272">
        <v>8.0</v>
      </c>
      <c r="M111" t="n" s="13273">
        <v>13.0</v>
      </c>
      <c r="N111" t="n" s="13274">
        <v>7.0</v>
      </c>
      <c r="O111" t="n" s="13275">
        <v>7.0</v>
      </c>
      <c r="P111" s="13276">
        <f>IF(HLOOKUP("Shots",A1:CV300,111,FALSE)=0,0,HLOOKUP("SIB",A1:CV300,111,FALSE)/HLOOKUP("Shots",A1:CV300,111,FALSE))</f>
      </c>
      <c r="Q111" t="n" s="13277">
        <v>4.0</v>
      </c>
      <c r="R111" s="13278">
        <f>IF(HLOOKUP("Shots",A1:CV300,111,FALSE)=0,0,HLOOKUP("S6YD",A1:CV300,111,FALSE)/HLOOKUP("Shots",A1:CV300,111,FALSE))</f>
      </c>
      <c r="S111" t="n" s="13279">
        <v>6.0</v>
      </c>
      <c r="T111" s="13280">
        <f>IF(HLOOKUP("Shots",A1:CV300,111,FALSE)=0,0,HLOOKUP("Headers",A1:CV300,111,FALSE)/HLOOKUP("Shots",A1:CV300,111,FALSE))</f>
      </c>
      <c r="U111" t="n" s="13281">
        <v>1.0</v>
      </c>
      <c r="V111" s="13282">
        <f>IF(HLOOKUP("Shots",A1:CV300,111,FALSE)=0,0,HLOOKUP("SOT",A1:CV300,111,FALSE)/HLOOKUP("Shots",A1:CV300,111,FALSE))</f>
      </c>
      <c r="W111" s="13283">
        <f>IF(HLOOKUP("Shots",A1:CV300,111,FALSE)=0,0,HLOOKUP("Gs",A1:CV300,111,FALSE)/HLOOKUP("Shots",A1:CV300,111,FALSE))</f>
      </c>
      <c r="X111" t="n" s="13284">
        <v>0.0</v>
      </c>
      <c r="Y111" t="n" s="13285">
        <v>0.0</v>
      </c>
      <c r="Z111" t="n" s="13286">
        <v>0.0</v>
      </c>
      <c r="AA111" s="13287">
        <f>IF(HLOOKUP("KP",A1:CV300,111,FALSE)=0,0,HLOOKUP("As",A1:CV300,111,FALSE)/HLOOKUP("KP",A1:CV300,111,FALSE))</f>
      </c>
      <c r="AB111" t="n" s="13288">
        <v>27.4</v>
      </c>
      <c r="AC111" t="n" s="13289">
        <v>0.0</v>
      </c>
      <c r="AD111" t="n" s="13290">
        <v>0.0</v>
      </c>
      <c r="AE111" t="n" s="13291">
        <v>1.0</v>
      </c>
      <c r="AF111" t="n" s="13292">
        <v>1.0</v>
      </c>
      <c r="AG111" s="13293">
        <f>IF(HLOOKUP("BC",A1:CV300,111,FALSE)=0,0,HLOOKUP("Gs - BC",A1:CV300,111,FALSE)/HLOOKUP("BC",A1:CV300,111,FALSE))</f>
      </c>
      <c r="AH111" s="13294">
        <f>HLOOKUP("BC",A1:CV300,111,FALSE) - HLOOKUP("BC Miss",A1:CV300,111,FALSE)</f>
      </c>
      <c r="AI111" s="13295">
        <f>IF(HLOOKUP("Gs",A1:CV300,111,FALSE)=0,0,HLOOKUP("Gs - BC",A1:CV300,111,FALSE)/HLOOKUP("Gs",A1:CV300,111,FALSE))</f>
      </c>
      <c r="AJ111" t="n" s="13296">
        <v>0.0</v>
      </c>
      <c r="AK111" t="n" s="13297">
        <v>0.0</v>
      </c>
      <c r="AL111" s="13298">
        <f>HLOOKUP("BC",A1:CV300,111,FALSE) - (HLOOKUP("PK Gs",A1:CV300,111,FALSE) + HLOOKUP("PK Miss",A1:CV300,111,FALSE))</f>
      </c>
      <c r="AM111" s="13299">
        <f>HLOOKUP("BC Miss",A1:CV300,111,FALSE) - HLOOKUP("PK Miss",A1:CV300,111,FALSE)</f>
      </c>
      <c r="AN111" s="13300">
        <f>IF(HLOOKUP("BC - Open",A1:CV300,111,FALSE)=0,0,HLOOKUP("BC - Open Miss",A1:CV300,111,FALSE)/HLOOKUP("BC - Open",A1:CV300,111,FALSE))</f>
      </c>
      <c r="AO111" t="n" s="13301">
        <v>0.0</v>
      </c>
      <c r="AP111" s="13302">
        <f>IF(HLOOKUP("Gs",A1:CV300,111,FALSE)=0,0,HLOOKUP("GIB",A1:CV300,111,FALSE)/HLOOKUP("Gs",A1:CV300,111,FALSE))</f>
      </c>
      <c r="AQ111" t="n" s="13303">
        <v>0.0</v>
      </c>
      <c r="AR111" s="13304">
        <f>IF(HLOOKUP("Gs",A1:CV300,111,FALSE)=0,0,HLOOKUP("Gs - Open",A1:CV300,111,FALSE)/HLOOKUP("Gs",A1:CV300,111,FALSE))</f>
      </c>
      <c r="AS111" t="n" s="13305">
        <v>0.72</v>
      </c>
      <c r="AT111" t="n" s="13306">
        <v>0.05</v>
      </c>
      <c r="AU111" s="13307">
        <f>IF(HLOOKUP("Mins",A1:CV300,111,FALSE)=0,0,HLOOKUP("Pts",A1:CV300,111,FALSE)/HLOOKUP("Mins",A1:CV300,111,FALSE)* 90)</f>
      </c>
      <c r="AV111" s="13308">
        <f>IF(HLOOKUP("Apps",A1:CV300,111,FALSE)=0,0,HLOOKUP("Pts",A1:CV300,111,FALSE)/HLOOKUP("Apps",A1:CV300,111,FALSE)* 1)</f>
      </c>
      <c r="AW111" s="13309">
        <f>IF(HLOOKUP("Mins",A1:CV300,111,FALSE)=0,0,HLOOKUP("Gs",A1:CV300,111,FALSE)/HLOOKUP("Mins",A1:CV300,111,FALSE)* 90)</f>
      </c>
      <c r="AX111" s="13310">
        <f>IF(HLOOKUP("Mins",A1:CV300,111,FALSE)=0,0,HLOOKUP("Bonus",A1:CV300,111,FALSE)/HLOOKUP("Mins",A1:CV300,111,FALSE)* 90)</f>
      </c>
      <c r="AY111" s="13311">
        <f>IF(HLOOKUP("Mins",A1:CV300,111,FALSE)=0,0,HLOOKUP("BPS",A1:CV300,111,FALSE)/HLOOKUP("Mins",A1:CV300,111,FALSE)* 90)</f>
      </c>
      <c r="AZ111" s="13312">
        <f>IF(HLOOKUP("Mins",A1:CV300,111,FALSE)=0,0,HLOOKUP("Base BPS",A1:CV300,111,FALSE)/HLOOKUP("Mins",A1:CV300,111,FALSE)* 90)</f>
      </c>
      <c r="BA111" s="13313">
        <f>IF(HLOOKUP("Mins",A1:CV300,111,FALSE)=0,0,HLOOKUP("PenTchs",A1:CV300,111,FALSE)/HLOOKUP("Mins",A1:CV300,111,FALSE)* 90)</f>
      </c>
      <c r="BB111" s="13314">
        <f>IF(HLOOKUP("Mins",A1:CV300,111,FALSE)=0,0,HLOOKUP("Shots",A1:CV300,111,FALSE)/HLOOKUP("Mins",A1:CV300,111,FALSE)* 90)</f>
      </c>
      <c r="BC111" s="13315">
        <f>IF(HLOOKUP("Mins",A1:CV300,111,FALSE)=0,0,HLOOKUP("SIB",A1:CV300,111,FALSE)/HLOOKUP("Mins",A1:CV300,111,FALSE)* 90)</f>
      </c>
      <c r="BD111" s="13316">
        <f>IF(HLOOKUP("Mins",A1:CV300,111,FALSE)=0,0,HLOOKUP("S6YD",A1:CV300,111,FALSE)/HLOOKUP("Mins",A1:CV300,111,FALSE)* 90)</f>
      </c>
      <c r="BE111" s="13317">
        <f>IF(HLOOKUP("Mins",A1:CV300,111,FALSE)=0,0,HLOOKUP("Headers",A1:CV300,111,FALSE)/HLOOKUP("Mins",A1:CV300,111,FALSE)* 90)</f>
      </c>
      <c r="BF111" s="13318">
        <f>IF(HLOOKUP("Mins",A1:CV300,111,FALSE)=0,0,HLOOKUP("SOT",A1:CV300,111,FALSE)/HLOOKUP("Mins",A1:CV300,111,FALSE)* 90)</f>
      </c>
      <c r="BG111" s="13319">
        <f>IF(HLOOKUP("Mins",A1:CV300,111,FALSE)=0,0,HLOOKUP("As",A1:CV300,111,FALSE)/HLOOKUP("Mins",A1:CV300,111,FALSE)* 90)</f>
      </c>
      <c r="BH111" s="13320">
        <f>IF(HLOOKUP("Mins",A1:CV300,111,FALSE)=0,0,HLOOKUP("FPL As",A1:CV300,111,FALSE)/HLOOKUP("Mins",A1:CV300,111,FALSE)* 90)</f>
      </c>
      <c r="BI111" s="13321">
        <f>IF(HLOOKUP("Mins",A1:CV300,111,FALSE)=0,0,HLOOKUP("BC Created",A1:CV300,111,FALSE)/HLOOKUP("Mins",A1:CV300,111,FALSE)* 90)</f>
      </c>
      <c r="BJ111" s="13322">
        <f>IF(HLOOKUP("Mins",A1:CV300,111,FALSE)=0,0,HLOOKUP("KP",A1:CV300,111,FALSE)/HLOOKUP("Mins",A1:CV300,111,FALSE)* 90)</f>
      </c>
      <c r="BK111" s="13323">
        <f>IF(HLOOKUP("Mins",A1:CV300,111,FALSE)=0,0,HLOOKUP("BC",A1:CV300,111,FALSE)/HLOOKUP("Mins",A1:CV300,111,FALSE)* 90)</f>
      </c>
      <c r="BL111" s="13324">
        <f>IF(HLOOKUP("Mins",A1:CV300,111,FALSE)=0,0,HLOOKUP("BC Miss",A1:CV300,111,FALSE)/HLOOKUP("Mins",A1:CV300,111,FALSE)* 90)</f>
      </c>
      <c r="BM111" s="13325">
        <f>IF(HLOOKUP("Mins",A1:CV300,111,FALSE)=0,0,HLOOKUP("Gs - BC",A1:CV300,111,FALSE)/HLOOKUP("Mins",A1:CV300,111,FALSE)* 90)</f>
      </c>
      <c r="BN111" s="13326">
        <f>IF(HLOOKUP("Mins",A1:CV300,111,FALSE)=0,0,HLOOKUP("GIB",A1:CV300,111,FALSE)/HLOOKUP("Mins",A1:CV300,111,FALSE)* 90)</f>
      </c>
      <c r="BO111" s="13327">
        <f>IF(HLOOKUP("Mins",A1:CV300,111,FALSE)=0,0,HLOOKUP("Gs - Open",A1:CV300,111,FALSE)/HLOOKUP("Mins",A1:CV300,111,FALSE)* 90)</f>
      </c>
      <c r="BP111" s="13328">
        <f>IF(HLOOKUP("Mins",A1:CV300,111,FALSE)=0,0,HLOOKUP("ICT Index",A1:CV300,111,FALSE)/HLOOKUP("Mins",A1:CV300,111,FALSE)* 90)</f>
      </c>
      <c r="BQ111" s="13329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3330">
        <f>0.0825*HLOOKUP("KP/90",A1:CV300,111,FALSE)</f>
      </c>
      <c r="BS111" s="13331">
        <f>6*HLOOKUP("xG/90",A1:CV300,111,FALSE)+3*HLOOKUP("xA/90",A1:CV300,111,FALSE)</f>
      </c>
      <c r="BT111" s="13332">
        <f>HLOOKUP("xPts/90",A1:CV300,111,FALSE)-(6*0.75*(HLOOKUP("PK Gs",A1:CV300,111,FALSE)+HLOOKUP("PK Miss",A1:CV300,111,FALSE))*90/HLOOKUP("Mins",A1:CV300,111,FALSE))</f>
      </c>
      <c r="BU111" s="13333">
        <f>IF(HLOOKUP("Mins",A1:CV300,111,FALSE)=0,0,HLOOKUP("fsXG",A1:CV300,111,FALSE)/HLOOKUP("Mins",A1:CV300,111,FALSE)* 90)</f>
      </c>
      <c r="BV111" s="13334">
        <f>IF(HLOOKUP("Mins",A1:CV300,111,FALSE)=0,0,HLOOKUP("fsXA",A1:CV300,111,FALSE)/HLOOKUP("Mins",A1:CV300,111,FALSE)* 90)</f>
      </c>
      <c r="BW111" s="13335">
        <f>6*HLOOKUP("fsXG/90",A1:CV300,111,FALSE)+3*HLOOKUP("fsXA/90",A1:CV300,111,FALSE)</f>
      </c>
      <c r="BX111" t="n" s="13336">
        <v>0.1431685984134674</v>
      </c>
      <c r="BY111" t="n" s="13337">
        <v>0.0</v>
      </c>
      <c r="BZ111" s="13338">
        <f>6*HLOOKUP("uXG/90",A1:CV300,111,FALSE)+3*HLOOKUP("uXA/90",A1:CV300,111,FALSE)</f>
      </c>
    </row>
    <row r="112">
      <c r="A112" t="s" s="13339">
        <v>268</v>
      </c>
      <c r="B112" t="s" s="13340">
        <v>107</v>
      </c>
      <c r="C112" t="n" s="13341">
        <v>4.300000190734863</v>
      </c>
      <c r="D112" t="n" s="13342">
        <v>90.0</v>
      </c>
      <c r="E112" t="n" s="13343">
        <v>1.0</v>
      </c>
      <c r="F112" t="n" s="13344">
        <v>15.0</v>
      </c>
      <c r="G112" t="n" s="13345">
        <v>0.0</v>
      </c>
      <c r="H112" t="n" s="13346">
        <v>0.0</v>
      </c>
      <c r="I112" t="n" s="13347">
        <v>71.0</v>
      </c>
      <c r="J112" s="13348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3349">
        <v>0.0</v>
      </c>
      <c r="L112" t="n" s="13350">
        <v>1.0</v>
      </c>
      <c r="M112" t="n" s="13351">
        <v>0.0</v>
      </c>
      <c r="N112" t="n" s="13352">
        <v>0.0</v>
      </c>
      <c r="O112" t="n" s="13353">
        <v>0.0</v>
      </c>
      <c r="P112" s="13354">
        <f>IF(HLOOKUP("Shots",A1:CV300,112,FALSE)=0,0,HLOOKUP("SIB",A1:CV300,112,FALSE)/HLOOKUP("Shots",A1:CV300,112,FALSE))</f>
      </c>
      <c r="Q112" t="n" s="13355">
        <v>0.0</v>
      </c>
      <c r="R112" s="13356">
        <f>IF(HLOOKUP("Shots",A1:CV300,112,FALSE)=0,0,HLOOKUP("S6YD",A1:CV300,112,FALSE)/HLOOKUP("Shots",A1:CV300,112,FALSE))</f>
      </c>
      <c r="S112" t="n" s="13357">
        <v>0.0</v>
      </c>
      <c r="T112" s="13358">
        <f>IF(HLOOKUP("Shots",A1:CV300,112,FALSE)=0,0,HLOOKUP("Headers",A1:CV300,112,FALSE)/HLOOKUP("Shots",A1:CV300,112,FALSE))</f>
      </c>
      <c r="U112" t="n" s="13359">
        <v>0.0</v>
      </c>
      <c r="V112" s="13360">
        <f>IF(HLOOKUP("Shots",A1:CV300,112,FALSE)=0,0,HLOOKUP("SOT",A1:CV300,112,FALSE)/HLOOKUP("Shots",A1:CV300,112,FALSE))</f>
      </c>
      <c r="W112" s="13361">
        <f>IF(HLOOKUP("Shots",A1:CV300,112,FALSE)=0,0,HLOOKUP("Gs",A1:CV300,112,FALSE)/HLOOKUP("Shots",A1:CV300,112,FALSE))</f>
      </c>
      <c r="X112" t="n" s="13362">
        <v>0.0</v>
      </c>
      <c r="Y112" t="n" s="13363">
        <v>1.0</v>
      </c>
      <c r="Z112" t="n" s="13364">
        <v>0.0</v>
      </c>
      <c r="AA112" s="13365">
        <f>IF(HLOOKUP("KP",A1:CV300,112,FALSE)=0,0,HLOOKUP("As",A1:CV300,112,FALSE)/HLOOKUP("KP",A1:CV300,112,FALSE))</f>
      </c>
      <c r="AB112" t="n" s="13366">
        <v>1.0</v>
      </c>
      <c r="AC112" t="n" s="13367">
        <v>0.0</v>
      </c>
      <c r="AD112" t="n" s="13368">
        <v>0.0</v>
      </c>
      <c r="AE112" t="n" s="13369">
        <v>0.0</v>
      </c>
      <c r="AF112" t="n" s="13370">
        <v>0.0</v>
      </c>
      <c r="AG112" s="13371">
        <f>IF(HLOOKUP("BC",A1:CV300,112,FALSE)=0,0,HLOOKUP("Gs - BC",A1:CV300,112,FALSE)/HLOOKUP("BC",A1:CV300,112,FALSE))</f>
      </c>
      <c r="AH112" s="13372">
        <f>HLOOKUP("BC",A1:CV300,112,FALSE) - HLOOKUP("BC Miss",A1:CV300,112,FALSE)</f>
      </c>
      <c r="AI112" s="13373">
        <f>IF(HLOOKUP("Gs",A1:CV300,112,FALSE)=0,0,HLOOKUP("Gs - BC",A1:CV300,112,FALSE)/HLOOKUP("Gs",A1:CV300,112,FALSE))</f>
      </c>
      <c r="AJ112" t="n" s="13374">
        <v>0.0</v>
      </c>
      <c r="AK112" t="n" s="13375">
        <v>0.0</v>
      </c>
      <c r="AL112" s="13376">
        <f>HLOOKUP("BC",A1:CV300,112,FALSE) - (HLOOKUP("PK Gs",A1:CV300,112,FALSE) + HLOOKUP("PK Miss",A1:CV300,112,FALSE))</f>
      </c>
      <c r="AM112" s="13377">
        <f>HLOOKUP("BC Miss",A1:CV300,112,FALSE) - HLOOKUP("PK Miss",A1:CV300,112,FALSE)</f>
      </c>
      <c r="AN112" s="13378">
        <f>IF(HLOOKUP("BC - Open",A1:CV300,112,FALSE)=0,0,HLOOKUP("BC - Open Miss",A1:CV300,112,FALSE)/HLOOKUP("BC - Open",A1:CV300,112,FALSE))</f>
      </c>
      <c r="AO112" t="n" s="13379">
        <v>0.0</v>
      </c>
      <c r="AP112" s="13380">
        <f>IF(HLOOKUP("Gs",A1:CV300,112,FALSE)=0,0,HLOOKUP("GIB",A1:CV300,112,FALSE)/HLOOKUP("Gs",A1:CV300,112,FALSE))</f>
      </c>
      <c r="AQ112" t="n" s="13381">
        <v>0.0</v>
      </c>
      <c r="AR112" s="13382">
        <f>IF(HLOOKUP("Gs",A1:CV300,112,FALSE)=0,0,HLOOKUP("Gs - Open",A1:CV300,112,FALSE)/HLOOKUP("Gs",A1:CV300,112,FALSE))</f>
      </c>
      <c r="AS112" t="n" s="13383">
        <v>0.0</v>
      </c>
      <c r="AT112" t="n" s="13384">
        <v>0.0</v>
      </c>
      <c r="AU112" s="13385">
        <f>IF(HLOOKUP("Mins",A1:CV300,112,FALSE)=0,0,HLOOKUP("Pts",A1:CV300,112,FALSE)/HLOOKUP("Mins",A1:CV300,112,FALSE)* 90)</f>
      </c>
      <c r="AV112" s="13386">
        <f>IF(HLOOKUP("Apps",A1:CV300,112,FALSE)=0,0,HLOOKUP("Pts",A1:CV300,112,FALSE)/HLOOKUP("Apps",A1:CV300,112,FALSE)* 1)</f>
      </c>
      <c r="AW112" s="13387">
        <f>IF(HLOOKUP("Mins",A1:CV300,112,FALSE)=0,0,HLOOKUP("Gs",A1:CV300,112,FALSE)/HLOOKUP("Mins",A1:CV300,112,FALSE)* 90)</f>
      </c>
      <c r="AX112" s="13388">
        <f>IF(HLOOKUP("Mins",A1:CV300,112,FALSE)=0,0,HLOOKUP("Bonus",A1:CV300,112,FALSE)/HLOOKUP("Mins",A1:CV300,112,FALSE)* 90)</f>
      </c>
      <c r="AY112" s="13389">
        <f>IF(HLOOKUP("Mins",A1:CV300,112,FALSE)=0,0,HLOOKUP("BPS",A1:CV300,112,FALSE)/HLOOKUP("Mins",A1:CV300,112,FALSE)* 90)</f>
      </c>
      <c r="AZ112" s="13390">
        <f>IF(HLOOKUP("Mins",A1:CV300,112,FALSE)=0,0,HLOOKUP("Base BPS",A1:CV300,112,FALSE)/HLOOKUP("Mins",A1:CV300,112,FALSE)* 90)</f>
      </c>
      <c r="BA112" s="13391">
        <f>IF(HLOOKUP("Mins",A1:CV300,112,FALSE)=0,0,HLOOKUP("PenTchs",A1:CV300,112,FALSE)/HLOOKUP("Mins",A1:CV300,112,FALSE)* 90)</f>
      </c>
      <c r="BB112" s="13392">
        <f>IF(HLOOKUP("Mins",A1:CV300,112,FALSE)=0,0,HLOOKUP("Shots",A1:CV300,112,FALSE)/HLOOKUP("Mins",A1:CV300,112,FALSE)* 90)</f>
      </c>
      <c r="BC112" s="13393">
        <f>IF(HLOOKUP("Mins",A1:CV300,112,FALSE)=0,0,HLOOKUP("SIB",A1:CV300,112,FALSE)/HLOOKUP("Mins",A1:CV300,112,FALSE)* 90)</f>
      </c>
      <c r="BD112" s="13394">
        <f>IF(HLOOKUP("Mins",A1:CV300,112,FALSE)=0,0,HLOOKUP("S6YD",A1:CV300,112,FALSE)/HLOOKUP("Mins",A1:CV300,112,FALSE)* 90)</f>
      </c>
      <c r="BE112" s="13395">
        <f>IF(HLOOKUP("Mins",A1:CV300,112,FALSE)=0,0,HLOOKUP("Headers",A1:CV300,112,FALSE)/HLOOKUP("Mins",A1:CV300,112,FALSE)* 90)</f>
      </c>
      <c r="BF112" s="13396">
        <f>IF(HLOOKUP("Mins",A1:CV300,112,FALSE)=0,0,HLOOKUP("SOT",A1:CV300,112,FALSE)/HLOOKUP("Mins",A1:CV300,112,FALSE)* 90)</f>
      </c>
      <c r="BG112" s="13397">
        <f>IF(HLOOKUP("Mins",A1:CV300,112,FALSE)=0,0,HLOOKUP("As",A1:CV300,112,FALSE)/HLOOKUP("Mins",A1:CV300,112,FALSE)* 90)</f>
      </c>
      <c r="BH112" s="13398">
        <f>IF(HLOOKUP("Mins",A1:CV300,112,FALSE)=0,0,HLOOKUP("FPL As",A1:CV300,112,FALSE)/HLOOKUP("Mins",A1:CV300,112,FALSE)* 90)</f>
      </c>
      <c r="BI112" s="13399">
        <f>IF(HLOOKUP("Mins",A1:CV300,112,FALSE)=0,0,HLOOKUP("BC Created",A1:CV300,112,FALSE)/HLOOKUP("Mins",A1:CV300,112,FALSE)* 90)</f>
      </c>
      <c r="BJ112" s="13400">
        <f>IF(HLOOKUP("Mins",A1:CV300,112,FALSE)=0,0,HLOOKUP("KP",A1:CV300,112,FALSE)/HLOOKUP("Mins",A1:CV300,112,FALSE)* 90)</f>
      </c>
      <c r="BK112" s="13401">
        <f>IF(HLOOKUP("Mins",A1:CV300,112,FALSE)=0,0,HLOOKUP("BC",A1:CV300,112,FALSE)/HLOOKUP("Mins",A1:CV300,112,FALSE)* 90)</f>
      </c>
      <c r="BL112" s="13402">
        <f>IF(HLOOKUP("Mins",A1:CV300,112,FALSE)=0,0,HLOOKUP("BC Miss",A1:CV300,112,FALSE)/HLOOKUP("Mins",A1:CV300,112,FALSE)* 90)</f>
      </c>
      <c r="BM112" s="13403">
        <f>IF(HLOOKUP("Mins",A1:CV300,112,FALSE)=0,0,HLOOKUP("Gs - BC",A1:CV300,112,FALSE)/HLOOKUP("Mins",A1:CV300,112,FALSE)* 90)</f>
      </c>
      <c r="BN112" s="13404">
        <f>IF(HLOOKUP("Mins",A1:CV300,112,FALSE)=0,0,HLOOKUP("GIB",A1:CV300,112,FALSE)/HLOOKUP("Mins",A1:CV300,112,FALSE)* 90)</f>
      </c>
      <c r="BO112" s="13405">
        <f>IF(HLOOKUP("Mins",A1:CV300,112,FALSE)=0,0,HLOOKUP("Gs - Open",A1:CV300,112,FALSE)/HLOOKUP("Mins",A1:CV300,112,FALSE)* 90)</f>
      </c>
      <c r="BP112" s="13406">
        <f>IF(HLOOKUP("Mins",A1:CV300,112,FALSE)=0,0,HLOOKUP("ICT Index",A1:CV300,112,FALSE)/HLOOKUP("Mins",A1:CV300,112,FALSE)* 90)</f>
      </c>
      <c r="BQ112" s="13407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3408">
        <f>0.0825*HLOOKUP("KP/90",A1:CV300,112,FALSE)</f>
      </c>
      <c r="BS112" s="13409">
        <f>6*HLOOKUP("xG/90",A1:CV300,112,FALSE)+3*HLOOKUP("xA/90",A1:CV300,112,FALSE)</f>
      </c>
      <c r="BT112" s="13410">
        <f>HLOOKUP("xPts/90",A1:CV300,112,FALSE)-(6*0.75*(HLOOKUP("PK Gs",A1:CV300,112,FALSE)+HLOOKUP("PK Miss",A1:CV300,112,FALSE))*90/HLOOKUP("Mins",A1:CV300,112,FALSE))</f>
      </c>
      <c r="BU112" s="13411">
        <f>IF(HLOOKUP("Mins",A1:CV300,112,FALSE)=0,0,HLOOKUP("fsXG",A1:CV300,112,FALSE)/HLOOKUP("Mins",A1:CV300,112,FALSE)* 90)</f>
      </c>
      <c r="BV112" s="13412">
        <f>IF(HLOOKUP("Mins",A1:CV300,112,FALSE)=0,0,HLOOKUP("fsXA",A1:CV300,112,FALSE)/HLOOKUP("Mins",A1:CV300,112,FALSE)* 90)</f>
      </c>
      <c r="BW112" s="13413">
        <f>6*HLOOKUP("fsXG/90",A1:CV300,112,FALSE)+3*HLOOKUP("fsXA/90",A1:CV300,112,FALSE)</f>
      </c>
      <c r="BX112" t="n" s="13414">
        <v>0.0</v>
      </c>
      <c r="BY112" t="n" s="13415">
        <v>0.0</v>
      </c>
      <c r="BZ112" s="13416">
        <f>6*HLOOKUP("uXG/90",A1:CV300,112,FALSE)+3*HLOOKUP("uXA/90",A1:CV300,112,FALSE)</f>
      </c>
    </row>
    <row r="113">
      <c r="A113" t="s" s="13417">
        <v>269</v>
      </c>
      <c r="B113" t="s" s="13418">
        <v>102</v>
      </c>
      <c r="C113" t="n" s="13419">
        <v>4.400000095367432</v>
      </c>
      <c r="D113" t="n" s="13420">
        <v>163.0</v>
      </c>
      <c r="E113" t="n" s="13421">
        <v>4.0</v>
      </c>
      <c r="F113" t="n" s="13422">
        <v>23.0</v>
      </c>
      <c r="G113" t="n" s="13423">
        <v>0.0</v>
      </c>
      <c r="H113" t="n" s="13424">
        <v>0.0</v>
      </c>
      <c r="I113" t="n" s="13425">
        <v>94.0</v>
      </c>
      <c r="J113" s="13426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3427">
        <v>0.0</v>
      </c>
      <c r="L113" t="n" s="13428">
        <v>1.0</v>
      </c>
      <c r="M113" t="n" s="13429">
        <v>0.0</v>
      </c>
      <c r="N113" t="n" s="13430">
        <v>0.0</v>
      </c>
      <c r="O113" t="n" s="13431">
        <v>0.0</v>
      </c>
      <c r="P113" s="13432">
        <f>IF(HLOOKUP("Shots",A1:CV300,113,FALSE)=0,0,HLOOKUP("SIB",A1:CV300,113,FALSE)/HLOOKUP("Shots",A1:CV300,113,FALSE))</f>
      </c>
      <c r="Q113" t="n" s="13433">
        <v>0.0</v>
      </c>
      <c r="R113" s="13434">
        <f>IF(HLOOKUP("Shots",A1:CV300,113,FALSE)=0,0,HLOOKUP("S6YD",A1:CV300,113,FALSE)/HLOOKUP("Shots",A1:CV300,113,FALSE))</f>
      </c>
      <c r="S113" t="n" s="13435">
        <v>0.0</v>
      </c>
      <c r="T113" s="13436">
        <f>IF(HLOOKUP("Shots",A1:CV300,113,FALSE)=0,0,HLOOKUP("Headers",A1:CV300,113,FALSE)/HLOOKUP("Shots",A1:CV300,113,FALSE))</f>
      </c>
      <c r="U113" t="n" s="13437">
        <v>0.0</v>
      </c>
      <c r="V113" s="13438">
        <f>IF(HLOOKUP("Shots",A1:CV300,113,FALSE)=0,0,HLOOKUP("SOT",A1:CV300,113,FALSE)/HLOOKUP("Shots",A1:CV300,113,FALSE))</f>
      </c>
      <c r="W113" s="13439">
        <f>IF(HLOOKUP("Shots",A1:CV300,113,FALSE)=0,0,HLOOKUP("Gs",A1:CV300,113,FALSE)/HLOOKUP("Shots",A1:CV300,113,FALSE))</f>
      </c>
      <c r="X113" t="n" s="13440">
        <v>0.0</v>
      </c>
      <c r="Y113" t="n" s="13441">
        <v>0.0</v>
      </c>
      <c r="Z113" t="n" s="13442">
        <v>1.0</v>
      </c>
      <c r="AA113" s="13443">
        <f>IF(HLOOKUP("KP",A1:CV300,113,FALSE)=0,0,HLOOKUP("As",A1:CV300,113,FALSE)/HLOOKUP("KP",A1:CV300,113,FALSE))</f>
      </c>
      <c r="AB113" t="n" s="13444">
        <v>3.7</v>
      </c>
      <c r="AC113" t="n" s="13445">
        <v>0.0</v>
      </c>
      <c r="AD113" t="n" s="13446">
        <v>0.0</v>
      </c>
      <c r="AE113" t="n" s="13447">
        <v>0.0</v>
      </c>
      <c r="AF113" t="n" s="13448">
        <v>0.0</v>
      </c>
      <c r="AG113" s="13449">
        <f>IF(HLOOKUP("BC",A1:CV300,113,FALSE)=0,0,HLOOKUP("Gs - BC",A1:CV300,113,FALSE)/HLOOKUP("BC",A1:CV300,113,FALSE))</f>
      </c>
      <c r="AH113" s="13450">
        <f>HLOOKUP("BC",A1:CV300,113,FALSE) - HLOOKUP("BC Miss",A1:CV300,113,FALSE)</f>
      </c>
      <c r="AI113" s="13451">
        <f>IF(HLOOKUP("Gs",A1:CV300,113,FALSE)=0,0,HLOOKUP("Gs - BC",A1:CV300,113,FALSE)/HLOOKUP("Gs",A1:CV300,113,FALSE))</f>
      </c>
      <c r="AJ113" t="n" s="13452">
        <v>0.0</v>
      </c>
      <c r="AK113" t="n" s="13453">
        <v>0.0</v>
      </c>
      <c r="AL113" s="13454">
        <f>HLOOKUP("BC",A1:CV300,113,FALSE) - (HLOOKUP("PK Gs",A1:CV300,113,FALSE) + HLOOKUP("PK Miss",A1:CV300,113,FALSE))</f>
      </c>
      <c r="AM113" s="13455">
        <f>HLOOKUP("BC Miss",A1:CV300,113,FALSE) - HLOOKUP("PK Miss",A1:CV300,113,FALSE)</f>
      </c>
      <c r="AN113" s="13456">
        <f>IF(HLOOKUP("BC - Open",A1:CV300,113,FALSE)=0,0,HLOOKUP("BC - Open Miss",A1:CV300,113,FALSE)/HLOOKUP("BC - Open",A1:CV300,113,FALSE))</f>
      </c>
      <c r="AO113" t="n" s="13457">
        <v>0.0</v>
      </c>
      <c r="AP113" s="13458">
        <f>IF(HLOOKUP("Gs",A1:CV300,113,FALSE)=0,0,HLOOKUP("GIB",A1:CV300,113,FALSE)/HLOOKUP("Gs",A1:CV300,113,FALSE))</f>
      </c>
      <c r="AQ113" t="n" s="13459">
        <v>0.0</v>
      </c>
      <c r="AR113" s="13460">
        <f>IF(HLOOKUP("Gs",A1:CV300,113,FALSE)=0,0,HLOOKUP("Gs - Open",A1:CV300,113,FALSE)/HLOOKUP("Gs",A1:CV300,113,FALSE))</f>
      </c>
      <c r="AS113" t="n" s="13461">
        <v>0.0</v>
      </c>
      <c r="AT113" t="n" s="13462">
        <v>0.06</v>
      </c>
      <c r="AU113" s="13463">
        <f>IF(HLOOKUP("Mins",A1:CV300,113,FALSE)=0,0,HLOOKUP("Pts",A1:CV300,113,FALSE)/HLOOKUP("Mins",A1:CV300,113,FALSE)* 90)</f>
      </c>
      <c r="AV113" s="13464">
        <f>IF(HLOOKUP("Apps",A1:CV300,113,FALSE)=0,0,HLOOKUP("Pts",A1:CV300,113,FALSE)/HLOOKUP("Apps",A1:CV300,113,FALSE)* 1)</f>
      </c>
      <c r="AW113" s="13465">
        <f>IF(HLOOKUP("Mins",A1:CV300,113,FALSE)=0,0,HLOOKUP("Gs",A1:CV300,113,FALSE)/HLOOKUP("Mins",A1:CV300,113,FALSE)* 90)</f>
      </c>
      <c r="AX113" s="13466">
        <f>IF(HLOOKUP("Mins",A1:CV300,113,FALSE)=0,0,HLOOKUP("Bonus",A1:CV300,113,FALSE)/HLOOKUP("Mins",A1:CV300,113,FALSE)* 90)</f>
      </c>
      <c r="AY113" s="13467">
        <f>IF(HLOOKUP("Mins",A1:CV300,113,FALSE)=0,0,HLOOKUP("BPS",A1:CV300,113,FALSE)/HLOOKUP("Mins",A1:CV300,113,FALSE)* 90)</f>
      </c>
      <c r="AZ113" s="13468">
        <f>IF(HLOOKUP("Mins",A1:CV300,113,FALSE)=0,0,HLOOKUP("Base BPS",A1:CV300,113,FALSE)/HLOOKUP("Mins",A1:CV300,113,FALSE)* 90)</f>
      </c>
      <c r="BA113" s="13469">
        <f>IF(HLOOKUP("Mins",A1:CV300,113,FALSE)=0,0,HLOOKUP("PenTchs",A1:CV300,113,FALSE)/HLOOKUP("Mins",A1:CV300,113,FALSE)* 90)</f>
      </c>
      <c r="BB113" s="13470">
        <f>IF(HLOOKUP("Mins",A1:CV300,113,FALSE)=0,0,HLOOKUP("Shots",A1:CV300,113,FALSE)/HLOOKUP("Mins",A1:CV300,113,FALSE)* 90)</f>
      </c>
      <c r="BC113" s="13471">
        <f>IF(HLOOKUP("Mins",A1:CV300,113,FALSE)=0,0,HLOOKUP("SIB",A1:CV300,113,FALSE)/HLOOKUP("Mins",A1:CV300,113,FALSE)* 90)</f>
      </c>
      <c r="BD113" s="13472">
        <f>IF(HLOOKUP("Mins",A1:CV300,113,FALSE)=0,0,HLOOKUP("S6YD",A1:CV300,113,FALSE)/HLOOKUP("Mins",A1:CV300,113,FALSE)* 90)</f>
      </c>
      <c r="BE113" s="13473">
        <f>IF(HLOOKUP("Mins",A1:CV300,113,FALSE)=0,0,HLOOKUP("Headers",A1:CV300,113,FALSE)/HLOOKUP("Mins",A1:CV300,113,FALSE)* 90)</f>
      </c>
      <c r="BF113" s="13474">
        <f>IF(HLOOKUP("Mins",A1:CV300,113,FALSE)=0,0,HLOOKUP("SOT",A1:CV300,113,FALSE)/HLOOKUP("Mins",A1:CV300,113,FALSE)* 90)</f>
      </c>
      <c r="BG113" s="13475">
        <f>IF(HLOOKUP("Mins",A1:CV300,113,FALSE)=0,0,HLOOKUP("As",A1:CV300,113,FALSE)/HLOOKUP("Mins",A1:CV300,113,FALSE)* 90)</f>
      </c>
      <c r="BH113" s="13476">
        <f>IF(HLOOKUP("Mins",A1:CV300,113,FALSE)=0,0,HLOOKUP("FPL As",A1:CV300,113,FALSE)/HLOOKUP("Mins",A1:CV300,113,FALSE)* 90)</f>
      </c>
      <c r="BI113" s="13477">
        <f>IF(HLOOKUP("Mins",A1:CV300,113,FALSE)=0,0,HLOOKUP("BC Created",A1:CV300,113,FALSE)/HLOOKUP("Mins",A1:CV300,113,FALSE)* 90)</f>
      </c>
      <c r="BJ113" s="13478">
        <f>IF(HLOOKUP("Mins",A1:CV300,113,FALSE)=0,0,HLOOKUP("KP",A1:CV300,113,FALSE)/HLOOKUP("Mins",A1:CV300,113,FALSE)* 90)</f>
      </c>
      <c r="BK113" s="13479">
        <f>IF(HLOOKUP("Mins",A1:CV300,113,FALSE)=0,0,HLOOKUP("BC",A1:CV300,113,FALSE)/HLOOKUP("Mins",A1:CV300,113,FALSE)* 90)</f>
      </c>
      <c r="BL113" s="13480">
        <f>IF(HLOOKUP("Mins",A1:CV300,113,FALSE)=0,0,HLOOKUP("BC Miss",A1:CV300,113,FALSE)/HLOOKUP("Mins",A1:CV300,113,FALSE)* 90)</f>
      </c>
      <c r="BM113" s="13481">
        <f>IF(HLOOKUP("Mins",A1:CV300,113,FALSE)=0,0,HLOOKUP("Gs - BC",A1:CV300,113,FALSE)/HLOOKUP("Mins",A1:CV300,113,FALSE)* 90)</f>
      </c>
      <c r="BN113" s="13482">
        <f>IF(HLOOKUP("Mins",A1:CV300,113,FALSE)=0,0,HLOOKUP("GIB",A1:CV300,113,FALSE)/HLOOKUP("Mins",A1:CV300,113,FALSE)* 90)</f>
      </c>
      <c r="BO113" s="13483">
        <f>IF(HLOOKUP("Mins",A1:CV300,113,FALSE)=0,0,HLOOKUP("Gs - Open",A1:CV300,113,FALSE)/HLOOKUP("Mins",A1:CV300,113,FALSE)* 90)</f>
      </c>
      <c r="BP113" s="13484">
        <f>IF(HLOOKUP("Mins",A1:CV300,113,FALSE)=0,0,HLOOKUP("ICT Index",A1:CV300,113,FALSE)/HLOOKUP("Mins",A1:CV300,113,FALSE)* 90)</f>
      </c>
      <c r="BQ113" s="13485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3486">
        <f>0.0825*HLOOKUP("KP/90",A1:CV300,113,FALSE)</f>
      </c>
      <c r="BS113" s="13487">
        <f>6*HLOOKUP("xG/90",A1:CV300,113,FALSE)+3*HLOOKUP("xA/90",A1:CV300,113,FALSE)</f>
      </c>
      <c r="BT113" s="13488">
        <f>HLOOKUP("xPts/90",A1:CV300,113,FALSE)-(6*0.75*(HLOOKUP("PK Gs",A1:CV300,113,FALSE)+HLOOKUP("PK Miss",A1:CV300,113,FALSE))*90/HLOOKUP("Mins",A1:CV300,113,FALSE))</f>
      </c>
      <c r="BU113" s="13489">
        <f>IF(HLOOKUP("Mins",A1:CV300,113,FALSE)=0,0,HLOOKUP("fsXG",A1:CV300,113,FALSE)/HLOOKUP("Mins",A1:CV300,113,FALSE)* 90)</f>
      </c>
      <c r="BV113" s="13490">
        <f>IF(HLOOKUP("Mins",A1:CV300,113,FALSE)=0,0,HLOOKUP("fsXA",A1:CV300,113,FALSE)/HLOOKUP("Mins",A1:CV300,113,FALSE)* 90)</f>
      </c>
      <c r="BW113" s="13491">
        <f>6*HLOOKUP("fsXG/90",A1:CV300,113,FALSE)+3*HLOOKUP("fsXA/90",A1:CV300,113,FALSE)</f>
      </c>
      <c r="BX113" t="n" s="13492">
        <v>0.0</v>
      </c>
      <c r="BY113" t="n" s="13493">
        <v>0.010477134957909584</v>
      </c>
      <c r="BZ113" s="13494">
        <f>6*HLOOKUP("uXG/90",A1:CV300,113,FALSE)+3*HLOOKUP("uXA/90",A1:CV300,113,FALSE)</f>
      </c>
    </row>
    <row r="114">
      <c r="A114" t="s" s="13495">
        <v>270</v>
      </c>
      <c r="B114" t="s" s="13496">
        <v>85</v>
      </c>
      <c r="C114" t="n" s="13497">
        <v>4.599999904632568</v>
      </c>
      <c r="D114" t="n" s="13498">
        <v>540.0</v>
      </c>
      <c r="E114" t="n" s="13499">
        <v>6.0</v>
      </c>
      <c r="F114" t="n" s="13500">
        <v>75.0</v>
      </c>
      <c r="G114" t="n" s="13501">
        <v>0.0</v>
      </c>
      <c r="H114" t="n" s="13502">
        <v>5.0</v>
      </c>
      <c r="I114" t="n" s="13503">
        <v>387.0</v>
      </c>
      <c r="J114" s="13504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3505">
        <v>0.0</v>
      </c>
      <c r="L114" t="n" s="13506">
        <v>8.0</v>
      </c>
      <c r="M114" t="n" s="13507">
        <v>7.0</v>
      </c>
      <c r="N114" t="n" s="13508">
        <v>1.0</v>
      </c>
      <c r="O114" t="n" s="13509">
        <v>1.0</v>
      </c>
      <c r="P114" s="13510">
        <f>IF(HLOOKUP("Shots",A1:CV300,114,FALSE)=0,0,HLOOKUP("SIB",A1:CV300,114,FALSE)/HLOOKUP("Shots",A1:CV300,114,FALSE))</f>
      </c>
      <c r="Q114" t="n" s="13511">
        <v>0.0</v>
      </c>
      <c r="R114" s="13512">
        <f>IF(HLOOKUP("Shots",A1:CV300,114,FALSE)=0,0,HLOOKUP("S6YD",A1:CV300,114,FALSE)/HLOOKUP("Shots",A1:CV300,114,FALSE))</f>
      </c>
      <c r="S114" t="n" s="13513">
        <v>0.0</v>
      </c>
      <c r="T114" s="13514">
        <f>IF(HLOOKUP("Shots",A1:CV300,114,FALSE)=0,0,HLOOKUP("Headers",A1:CV300,114,FALSE)/HLOOKUP("Shots",A1:CV300,114,FALSE))</f>
      </c>
      <c r="U114" t="n" s="13515">
        <v>0.0</v>
      </c>
      <c r="V114" s="13516">
        <f>IF(HLOOKUP("Shots",A1:CV300,114,FALSE)=0,0,HLOOKUP("SOT",A1:CV300,114,FALSE)/HLOOKUP("Shots",A1:CV300,114,FALSE))</f>
      </c>
      <c r="W114" s="13517">
        <f>IF(HLOOKUP("Shots",A1:CV300,114,FALSE)=0,0,HLOOKUP("Gs",A1:CV300,114,FALSE)/HLOOKUP("Shots",A1:CV300,114,FALSE))</f>
      </c>
      <c r="X114" t="n" s="13518">
        <v>0.0</v>
      </c>
      <c r="Y114" t="n" s="13519">
        <v>1.0</v>
      </c>
      <c r="Z114" t="n" s="13520">
        <v>3.0</v>
      </c>
      <c r="AA114" s="13521">
        <f>IF(HLOOKUP("KP",A1:CV300,114,FALSE)=0,0,HLOOKUP("As",A1:CV300,114,FALSE)/HLOOKUP("KP",A1:CV300,114,FALSE))</f>
      </c>
      <c r="AB114" t="n" s="13522">
        <v>16.8</v>
      </c>
      <c r="AC114" t="n" s="13523">
        <v>0.0</v>
      </c>
      <c r="AD114" t="n" s="13524">
        <v>1.0</v>
      </c>
      <c r="AE114" t="n" s="13525">
        <v>0.0</v>
      </c>
      <c r="AF114" t="n" s="13526">
        <v>0.0</v>
      </c>
      <c r="AG114" s="13527">
        <f>IF(HLOOKUP("BC",A1:CV300,114,FALSE)=0,0,HLOOKUP("Gs - BC",A1:CV300,114,FALSE)/HLOOKUP("BC",A1:CV300,114,FALSE))</f>
      </c>
      <c r="AH114" s="13528">
        <f>HLOOKUP("BC",A1:CV300,114,FALSE) - HLOOKUP("BC Miss",A1:CV300,114,FALSE)</f>
      </c>
      <c r="AI114" s="13529">
        <f>IF(HLOOKUP("Gs",A1:CV300,114,FALSE)=0,0,HLOOKUP("Gs - BC",A1:CV300,114,FALSE)/HLOOKUP("Gs",A1:CV300,114,FALSE))</f>
      </c>
      <c r="AJ114" t="n" s="13530">
        <v>0.0</v>
      </c>
      <c r="AK114" t="n" s="13531">
        <v>0.0</v>
      </c>
      <c r="AL114" s="13532">
        <f>HLOOKUP("BC",A1:CV300,114,FALSE) - (HLOOKUP("PK Gs",A1:CV300,114,FALSE) + HLOOKUP("PK Miss",A1:CV300,114,FALSE))</f>
      </c>
      <c r="AM114" s="13533">
        <f>HLOOKUP("BC Miss",A1:CV300,114,FALSE) - HLOOKUP("PK Miss",A1:CV300,114,FALSE)</f>
      </c>
      <c r="AN114" s="13534">
        <f>IF(HLOOKUP("BC - Open",A1:CV300,114,FALSE)=0,0,HLOOKUP("BC - Open Miss",A1:CV300,114,FALSE)/HLOOKUP("BC - Open",A1:CV300,114,FALSE))</f>
      </c>
      <c r="AO114" t="n" s="13535">
        <v>0.0</v>
      </c>
      <c r="AP114" s="13536">
        <f>IF(HLOOKUP("Gs",A1:CV300,114,FALSE)=0,0,HLOOKUP("GIB",A1:CV300,114,FALSE)/HLOOKUP("Gs",A1:CV300,114,FALSE))</f>
      </c>
      <c r="AQ114" t="n" s="13537">
        <v>0.0</v>
      </c>
      <c r="AR114" s="13538">
        <f>IF(HLOOKUP("Gs",A1:CV300,114,FALSE)=0,0,HLOOKUP("Gs - Open",A1:CV300,114,FALSE)/HLOOKUP("Gs",A1:CV300,114,FALSE))</f>
      </c>
      <c r="AS114" t="n" s="13539">
        <v>1.24</v>
      </c>
      <c r="AT114" t="n" s="13540">
        <v>0.78</v>
      </c>
      <c r="AU114" s="13541">
        <f>IF(HLOOKUP("Mins",A1:CV300,114,FALSE)=0,0,HLOOKUP("Pts",A1:CV300,114,FALSE)/HLOOKUP("Mins",A1:CV300,114,FALSE)* 90)</f>
      </c>
      <c r="AV114" s="13542">
        <f>IF(HLOOKUP("Apps",A1:CV300,114,FALSE)=0,0,HLOOKUP("Pts",A1:CV300,114,FALSE)/HLOOKUP("Apps",A1:CV300,114,FALSE)* 1)</f>
      </c>
      <c r="AW114" s="13543">
        <f>IF(HLOOKUP("Mins",A1:CV300,114,FALSE)=0,0,HLOOKUP("Gs",A1:CV300,114,FALSE)/HLOOKUP("Mins",A1:CV300,114,FALSE)* 90)</f>
      </c>
      <c r="AX114" s="13544">
        <f>IF(HLOOKUP("Mins",A1:CV300,114,FALSE)=0,0,HLOOKUP("Bonus",A1:CV300,114,FALSE)/HLOOKUP("Mins",A1:CV300,114,FALSE)* 90)</f>
      </c>
      <c r="AY114" s="13545">
        <f>IF(HLOOKUP("Mins",A1:CV300,114,FALSE)=0,0,HLOOKUP("BPS",A1:CV300,114,FALSE)/HLOOKUP("Mins",A1:CV300,114,FALSE)* 90)</f>
      </c>
      <c r="AZ114" s="13546">
        <f>IF(HLOOKUP("Mins",A1:CV300,114,FALSE)=0,0,HLOOKUP("Base BPS",A1:CV300,114,FALSE)/HLOOKUP("Mins",A1:CV300,114,FALSE)* 90)</f>
      </c>
      <c r="BA114" s="13547">
        <f>IF(HLOOKUP("Mins",A1:CV300,114,FALSE)=0,0,HLOOKUP("PenTchs",A1:CV300,114,FALSE)/HLOOKUP("Mins",A1:CV300,114,FALSE)* 90)</f>
      </c>
      <c r="BB114" s="13548">
        <f>IF(HLOOKUP("Mins",A1:CV300,114,FALSE)=0,0,HLOOKUP("Shots",A1:CV300,114,FALSE)/HLOOKUP("Mins",A1:CV300,114,FALSE)* 90)</f>
      </c>
      <c r="BC114" s="13549">
        <f>IF(HLOOKUP("Mins",A1:CV300,114,FALSE)=0,0,HLOOKUP("SIB",A1:CV300,114,FALSE)/HLOOKUP("Mins",A1:CV300,114,FALSE)* 90)</f>
      </c>
      <c r="BD114" s="13550">
        <f>IF(HLOOKUP("Mins",A1:CV300,114,FALSE)=0,0,HLOOKUP("S6YD",A1:CV300,114,FALSE)/HLOOKUP("Mins",A1:CV300,114,FALSE)* 90)</f>
      </c>
      <c r="BE114" s="13551">
        <f>IF(HLOOKUP("Mins",A1:CV300,114,FALSE)=0,0,HLOOKUP("Headers",A1:CV300,114,FALSE)/HLOOKUP("Mins",A1:CV300,114,FALSE)* 90)</f>
      </c>
      <c r="BF114" s="13552">
        <f>IF(HLOOKUP("Mins",A1:CV300,114,FALSE)=0,0,HLOOKUP("SOT",A1:CV300,114,FALSE)/HLOOKUP("Mins",A1:CV300,114,FALSE)* 90)</f>
      </c>
      <c r="BG114" s="13553">
        <f>IF(HLOOKUP("Mins",A1:CV300,114,FALSE)=0,0,HLOOKUP("As",A1:CV300,114,FALSE)/HLOOKUP("Mins",A1:CV300,114,FALSE)* 90)</f>
      </c>
      <c r="BH114" s="13554">
        <f>IF(HLOOKUP("Mins",A1:CV300,114,FALSE)=0,0,HLOOKUP("FPL As",A1:CV300,114,FALSE)/HLOOKUP("Mins",A1:CV300,114,FALSE)* 90)</f>
      </c>
      <c r="BI114" s="13555">
        <f>IF(HLOOKUP("Mins",A1:CV300,114,FALSE)=0,0,HLOOKUP("BC Created",A1:CV300,114,FALSE)/HLOOKUP("Mins",A1:CV300,114,FALSE)* 90)</f>
      </c>
      <c r="BJ114" s="13556">
        <f>IF(HLOOKUP("Mins",A1:CV300,114,FALSE)=0,0,HLOOKUP("KP",A1:CV300,114,FALSE)/HLOOKUP("Mins",A1:CV300,114,FALSE)* 90)</f>
      </c>
      <c r="BK114" s="13557">
        <f>IF(HLOOKUP("Mins",A1:CV300,114,FALSE)=0,0,HLOOKUP("BC",A1:CV300,114,FALSE)/HLOOKUP("Mins",A1:CV300,114,FALSE)* 90)</f>
      </c>
      <c r="BL114" s="13558">
        <f>IF(HLOOKUP("Mins",A1:CV300,114,FALSE)=0,0,HLOOKUP("BC Miss",A1:CV300,114,FALSE)/HLOOKUP("Mins",A1:CV300,114,FALSE)* 90)</f>
      </c>
      <c r="BM114" s="13559">
        <f>IF(HLOOKUP("Mins",A1:CV300,114,FALSE)=0,0,HLOOKUP("Gs - BC",A1:CV300,114,FALSE)/HLOOKUP("Mins",A1:CV300,114,FALSE)* 90)</f>
      </c>
      <c r="BN114" s="13560">
        <f>IF(HLOOKUP("Mins",A1:CV300,114,FALSE)=0,0,HLOOKUP("GIB",A1:CV300,114,FALSE)/HLOOKUP("Mins",A1:CV300,114,FALSE)* 90)</f>
      </c>
      <c r="BO114" s="13561">
        <f>IF(HLOOKUP("Mins",A1:CV300,114,FALSE)=0,0,HLOOKUP("Gs - Open",A1:CV300,114,FALSE)/HLOOKUP("Mins",A1:CV300,114,FALSE)* 90)</f>
      </c>
      <c r="BP114" s="13562">
        <f>IF(HLOOKUP("Mins",A1:CV300,114,FALSE)=0,0,HLOOKUP("ICT Index",A1:CV300,114,FALSE)/HLOOKUP("Mins",A1:CV300,114,FALSE)* 90)</f>
      </c>
      <c r="BQ114" s="13563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3564">
        <f>0.0825*HLOOKUP("KP/90",A1:CV300,114,FALSE)</f>
      </c>
      <c r="BS114" s="13565">
        <f>6*HLOOKUP("xG/90",A1:CV300,114,FALSE)+3*HLOOKUP("xA/90",A1:CV300,114,FALSE)</f>
      </c>
      <c r="BT114" s="13566">
        <f>HLOOKUP("xPts/90",A1:CV300,114,FALSE)-(6*0.75*(HLOOKUP("PK Gs",A1:CV300,114,FALSE)+HLOOKUP("PK Miss",A1:CV300,114,FALSE))*90/HLOOKUP("Mins",A1:CV300,114,FALSE))</f>
      </c>
      <c r="BU114" s="13567">
        <f>IF(HLOOKUP("Mins",A1:CV300,114,FALSE)=0,0,HLOOKUP("fsXG",A1:CV300,114,FALSE)/HLOOKUP("Mins",A1:CV300,114,FALSE)* 90)</f>
      </c>
      <c r="BV114" s="13568">
        <f>IF(HLOOKUP("Mins",A1:CV300,114,FALSE)=0,0,HLOOKUP("fsXA",A1:CV300,114,FALSE)/HLOOKUP("Mins",A1:CV300,114,FALSE)* 90)</f>
      </c>
      <c r="BW114" s="13569">
        <f>6*HLOOKUP("fsXG/90",A1:CV300,114,FALSE)+3*HLOOKUP("fsXA/90",A1:CV300,114,FALSE)</f>
      </c>
      <c r="BX114" t="n" s="13570">
        <v>0.005227155517786741</v>
      </c>
      <c r="BY114" t="n" s="13571">
        <v>0.13148914277553558</v>
      </c>
      <c r="BZ114" s="13572">
        <f>6*HLOOKUP("uXG/90",A1:CV300,114,FALSE)+3*HLOOKUP("uXA/90",A1:CV300,114,FALSE)</f>
      </c>
    </row>
    <row r="115">
      <c r="A115" t="s" s="13573">
        <v>271</v>
      </c>
      <c r="B115" t="s" s="13574">
        <v>87</v>
      </c>
      <c r="C115" t="n" s="13575">
        <v>4.5</v>
      </c>
      <c r="D115" t="n" s="13576">
        <v>180.0</v>
      </c>
      <c r="E115" t="n" s="13577">
        <v>2.0</v>
      </c>
      <c r="F115" t="n" s="13578">
        <v>34.0</v>
      </c>
      <c r="G115" t="n" s="13579">
        <v>0.0</v>
      </c>
      <c r="H115" t="n" s="13580">
        <v>4.0</v>
      </c>
      <c r="I115" t="n" s="13581">
        <v>212.0</v>
      </c>
      <c r="J115" s="13582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3583">
        <v>0.0</v>
      </c>
      <c r="L115" t="n" s="13584">
        <v>3.0</v>
      </c>
      <c r="M115" t="n" s="13585">
        <v>2.0</v>
      </c>
      <c r="N115" t="n" s="13586">
        <v>2.0</v>
      </c>
      <c r="O115" t="n" s="13587">
        <v>2.0</v>
      </c>
      <c r="P115" s="13588">
        <f>IF(HLOOKUP("Shots",A1:CV300,115,FALSE)=0,0,HLOOKUP("SIB",A1:CV300,115,FALSE)/HLOOKUP("Shots",A1:CV300,115,FALSE))</f>
      </c>
      <c r="Q115" t="n" s="13589">
        <v>0.0</v>
      </c>
      <c r="R115" s="13590">
        <f>IF(HLOOKUP("Shots",A1:CV300,115,FALSE)=0,0,HLOOKUP("S6YD",A1:CV300,115,FALSE)/HLOOKUP("Shots",A1:CV300,115,FALSE))</f>
      </c>
      <c r="S115" t="n" s="13591">
        <v>2.0</v>
      </c>
      <c r="T115" s="13592">
        <f>IF(HLOOKUP("Shots",A1:CV300,115,FALSE)=0,0,HLOOKUP("Headers",A1:CV300,115,FALSE)/HLOOKUP("Shots",A1:CV300,115,FALSE))</f>
      </c>
      <c r="U115" t="n" s="13593">
        <v>0.0</v>
      </c>
      <c r="V115" s="13594">
        <f>IF(HLOOKUP("Shots",A1:CV300,115,FALSE)=0,0,HLOOKUP("SOT",A1:CV300,115,FALSE)/HLOOKUP("Shots",A1:CV300,115,FALSE))</f>
      </c>
      <c r="W115" s="13595">
        <f>IF(HLOOKUP("Shots",A1:CV300,115,FALSE)=0,0,HLOOKUP("Gs",A1:CV300,115,FALSE)/HLOOKUP("Shots",A1:CV300,115,FALSE))</f>
      </c>
      <c r="X115" t="n" s="13596">
        <v>0.0</v>
      </c>
      <c r="Y115" t="n" s="13597">
        <v>0.0</v>
      </c>
      <c r="Z115" t="n" s="13598">
        <v>0.0</v>
      </c>
      <c r="AA115" s="13599">
        <f>IF(HLOOKUP("KP",A1:CV300,115,FALSE)=0,0,HLOOKUP("As",A1:CV300,115,FALSE)/HLOOKUP("KP",A1:CV300,115,FALSE))</f>
      </c>
      <c r="AB115" t="n" s="13600">
        <v>5.3</v>
      </c>
      <c r="AC115" t="n" s="13601">
        <v>0.0</v>
      </c>
      <c r="AD115" t="n" s="13602">
        <v>0.0</v>
      </c>
      <c r="AE115" t="n" s="13603">
        <v>0.0</v>
      </c>
      <c r="AF115" t="n" s="13604">
        <v>0.0</v>
      </c>
      <c r="AG115" s="13605">
        <f>IF(HLOOKUP("BC",A1:CV300,115,FALSE)=0,0,HLOOKUP("Gs - BC",A1:CV300,115,FALSE)/HLOOKUP("BC",A1:CV300,115,FALSE))</f>
      </c>
      <c r="AH115" s="13606">
        <f>HLOOKUP("BC",A1:CV300,115,FALSE) - HLOOKUP("BC Miss",A1:CV300,115,FALSE)</f>
      </c>
      <c r="AI115" s="13607">
        <f>IF(HLOOKUP("Gs",A1:CV300,115,FALSE)=0,0,HLOOKUP("Gs - BC",A1:CV300,115,FALSE)/HLOOKUP("Gs",A1:CV300,115,FALSE))</f>
      </c>
      <c r="AJ115" t="n" s="13608">
        <v>0.0</v>
      </c>
      <c r="AK115" t="n" s="13609">
        <v>0.0</v>
      </c>
      <c r="AL115" s="13610">
        <f>HLOOKUP("BC",A1:CV300,115,FALSE) - (HLOOKUP("PK Gs",A1:CV300,115,FALSE) + HLOOKUP("PK Miss",A1:CV300,115,FALSE))</f>
      </c>
      <c r="AM115" s="13611">
        <f>HLOOKUP("BC Miss",A1:CV300,115,FALSE) - HLOOKUP("PK Miss",A1:CV300,115,FALSE)</f>
      </c>
      <c r="AN115" s="13612">
        <f>IF(HLOOKUP("BC - Open",A1:CV300,115,FALSE)=0,0,HLOOKUP("BC - Open Miss",A1:CV300,115,FALSE)/HLOOKUP("BC - Open",A1:CV300,115,FALSE))</f>
      </c>
      <c r="AO115" t="n" s="13613">
        <v>0.0</v>
      </c>
      <c r="AP115" s="13614">
        <f>IF(HLOOKUP("Gs",A1:CV300,115,FALSE)=0,0,HLOOKUP("GIB",A1:CV300,115,FALSE)/HLOOKUP("Gs",A1:CV300,115,FALSE))</f>
      </c>
      <c r="AQ115" t="n" s="13615">
        <v>0.0</v>
      </c>
      <c r="AR115" s="13616">
        <f>IF(HLOOKUP("Gs",A1:CV300,115,FALSE)=0,0,HLOOKUP("Gs - Open",A1:CV300,115,FALSE)/HLOOKUP("Gs",A1:CV300,115,FALSE))</f>
      </c>
      <c r="AS115" t="n" s="13617">
        <v>0.11</v>
      </c>
      <c r="AT115" t="n" s="13618">
        <v>0.0</v>
      </c>
      <c r="AU115" s="13619">
        <f>IF(HLOOKUP("Mins",A1:CV300,115,FALSE)=0,0,HLOOKUP("Pts",A1:CV300,115,FALSE)/HLOOKUP("Mins",A1:CV300,115,FALSE)* 90)</f>
      </c>
      <c r="AV115" s="13620">
        <f>IF(HLOOKUP("Apps",A1:CV300,115,FALSE)=0,0,HLOOKUP("Pts",A1:CV300,115,FALSE)/HLOOKUP("Apps",A1:CV300,115,FALSE)* 1)</f>
      </c>
      <c r="AW115" s="13621">
        <f>IF(HLOOKUP("Mins",A1:CV300,115,FALSE)=0,0,HLOOKUP("Gs",A1:CV300,115,FALSE)/HLOOKUP("Mins",A1:CV300,115,FALSE)* 90)</f>
      </c>
      <c r="AX115" s="13622">
        <f>IF(HLOOKUP("Mins",A1:CV300,115,FALSE)=0,0,HLOOKUP("Bonus",A1:CV300,115,FALSE)/HLOOKUP("Mins",A1:CV300,115,FALSE)* 90)</f>
      </c>
      <c r="AY115" s="13623">
        <f>IF(HLOOKUP("Mins",A1:CV300,115,FALSE)=0,0,HLOOKUP("BPS",A1:CV300,115,FALSE)/HLOOKUP("Mins",A1:CV300,115,FALSE)* 90)</f>
      </c>
      <c r="AZ115" s="13624">
        <f>IF(HLOOKUP("Mins",A1:CV300,115,FALSE)=0,0,HLOOKUP("Base BPS",A1:CV300,115,FALSE)/HLOOKUP("Mins",A1:CV300,115,FALSE)* 90)</f>
      </c>
      <c r="BA115" s="13625">
        <f>IF(HLOOKUP("Mins",A1:CV300,115,FALSE)=0,0,HLOOKUP("PenTchs",A1:CV300,115,FALSE)/HLOOKUP("Mins",A1:CV300,115,FALSE)* 90)</f>
      </c>
      <c r="BB115" s="13626">
        <f>IF(HLOOKUP("Mins",A1:CV300,115,FALSE)=0,0,HLOOKUP("Shots",A1:CV300,115,FALSE)/HLOOKUP("Mins",A1:CV300,115,FALSE)* 90)</f>
      </c>
      <c r="BC115" s="13627">
        <f>IF(HLOOKUP("Mins",A1:CV300,115,FALSE)=0,0,HLOOKUP("SIB",A1:CV300,115,FALSE)/HLOOKUP("Mins",A1:CV300,115,FALSE)* 90)</f>
      </c>
      <c r="BD115" s="13628">
        <f>IF(HLOOKUP("Mins",A1:CV300,115,FALSE)=0,0,HLOOKUP("S6YD",A1:CV300,115,FALSE)/HLOOKUP("Mins",A1:CV300,115,FALSE)* 90)</f>
      </c>
      <c r="BE115" s="13629">
        <f>IF(HLOOKUP("Mins",A1:CV300,115,FALSE)=0,0,HLOOKUP("Headers",A1:CV300,115,FALSE)/HLOOKUP("Mins",A1:CV300,115,FALSE)* 90)</f>
      </c>
      <c r="BF115" s="13630">
        <f>IF(HLOOKUP("Mins",A1:CV300,115,FALSE)=0,0,HLOOKUP("SOT",A1:CV300,115,FALSE)/HLOOKUP("Mins",A1:CV300,115,FALSE)* 90)</f>
      </c>
      <c r="BG115" s="13631">
        <f>IF(HLOOKUP("Mins",A1:CV300,115,FALSE)=0,0,HLOOKUP("As",A1:CV300,115,FALSE)/HLOOKUP("Mins",A1:CV300,115,FALSE)* 90)</f>
      </c>
      <c r="BH115" s="13632">
        <f>IF(HLOOKUP("Mins",A1:CV300,115,FALSE)=0,0,HLOOKUP("FPL As",A1:CV300,115,FALSE)/HLOOKUP("Mins",A1:CV300,115,FALSE)* 90)</f>
      </c>
      <c r="BI115" s="13633">
        <f>IF(HLOOKUP("Mins",A1:CV300,115,FALSE)=0,0,HLOOKUP("BC Created",A1:CV300,115,FALSE)/HLOOKUP("Mins",A1:CV300,115,FALSE)* 90)</f>
      </c>
      <c r="BJ115" s="13634">
        <f>IF(HLOOKUP("Mins",A1:CV300,115,FALSE)=0,0,HLOOKUP("KP",A1:CV300,115,FALSE)/HLOOKUP("Mins",A1:CV300,115,FALSE)* 90)</f>
      </c>
      <c r="BK115" s="13635">
        <f>IF(HLOOKUP("Mins",A1:CV300,115,FALSE)=0,0,HLOOKUP("BC",A1:CV300,115,FALSE)/HLOOKUP("Mins",A1:CV300,115,FALSE)* 90)</f>
      </c>
      <c r="BL115" s="13636">
        <f>IF(HLOOKUP("Mins",A1:CV300,115,FALSE)=0,0,HLOOKUP("BC Miss",A1:CV300,115,FALSE)/HLOOKUP("Mins",A1:CV300,115,FALSE)* 90)</f>
      </c>
      <c r="BM115" s="13637">
        <f>IF(HLOOKUP("Mins",A1:CV300,115,FALSE)=0,0,HLOOKUP("Gs - BC",A1:CV300,115,FALSE)/HLOOKUP("Mins",A1:CV300,115,FALSE)* 90)</f>
      </c>
      <c r="BN115" s="13638">
        <f>IF(HLOOKUP("Mins",A1:CV300,115,FALSE)=0,0,HLOOKUP("GIB",A1:CV300,115,FALSE)/HLOOKUP("Mins",A1:CV300,115,FALSE)* 90)</f>
      </c>
      <c r="BO115" s="13639">
        <f>IF(HLOOKUP("Mins",A1:CV300,115,FALSE)=0,0,HLOOKUP("Gs - Open",A1:CV300,115,FALSE)/HLOOKUP("Mins",A1:CV300,115,FALSE)* 90)</f>
      </c>
      <c r="BP115" s="13640">
        <f>IF(HLOOKUP("Mins",A1:CV300,115,FALSE)=0,0,HLOOKUP("ICT Index",A1:CV300,115,FALSE)/HLOOKUP("Mins",A1:CV300,115,FALSE)* 90)</f>
      </c>
      <c r="BQ115" s="13641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3642">
        <f>0.0825*HLOOKUP("KP/90",A1:CV300,115,FALSE)</f>
      </c>
      <c r="BS115" s="13643">
        <f>6*HLOOKUP("xG/90",A1:CV300,115,FALSE)+3*HLOOKUP("xA/90",A1:CV300,115,FALSE)</f>
      </c>
      <c r="BT115" s="13644">
        <f>HLOOKUP("xPts/90",A1:CV300,115,FALSE)-(6*0.75*(HLOOKUP("PK Gs",A1:CV300,115,FALSE)+HLOOKUP("PK Miss",A1:CV300,115,FALSE))*90/HLOOKUP("Mins",A1:CV300,115,FALSE))</f>
      </c>
      <c r="BU115" s="13645">
        <f>IF(HLOOKUP("Mins",A1:CV300,115,FALSE)=0,0,HLOOKUP("fsXG",A1:CV300,115,FALSE)/HLOOKUP("Mins",A1:CV300,115,FALSE)* 90)</f>
      </c>
      <c r="BV115" s="13646">
        <f>IF(HLOOKUP("Mins",A1:CV300,115,FALSE)=0,0,HLOOKUP("fsXA",A1:CV300,115,FALSE)/HLOOKUP("Mins",A1:CV300,115,FALSE)* 90)</f>
      </c>
      <c r="BW115" s="13647">
        <f>6*HLOOKUP("fsXG/90",A1:CV300,115,FALSE)+3*HLOOKUP("fsXA/90",A1:CV300,115,FALSE)</f>
      </c>
      <c r="BX115" t="n" s="13648">
        <v>0.021809449419379234</v>
      </c>
      <c r="BY115" t="n" s="13649">
        <v>0.0</v>
      </c>
      <c r="BZ115" s="13650">
        <f>6*HLOOKUP("uXG/90",A1:CV300,115,FALSE)+3*HLOOKUP("uXA/90",A1:CV300,115,FALSE)</f>
      </c>
    </row>
    <row r="116">
      <c r="A116" t="s" s="13651">
        <v>272</v>
      </c>
      <c r="B116" t="s" s="13652">
        <v>82</v>
      </c>
      <c r="C116" t="n" s="13653">
        <v>5.099999904632568</v>
      </c>
      <c r="D116" t="n" s="13654">
        <v>450.0</v>
      </c>
      <c r="E116" t="n" s="13655">
        <v>5.0</v>
      </c>
      <c r="F116" t="n" s="13656">
        <v>82.0</v>
      </c>
      <c r="G116" t="n" s="13657">
        <v>0.0</v>
      </c>
      <c r="H116" t="n" s="13658">
        <v>8.0</v>
      </c>
      <c r="I116" t="n" s="13659">
        <v>458.0</v>
      </c>
      <c r="J116" s="13660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3661">
        <v>0.0</v>
      </c>
      <c r="L116" t="n" s="13662">
        <v>8.0</v>
      </c>
      <c r="M116" t="n" s="13663">
        <v>3.0</v>
      </c>
      <c r="N116" t="n" s="13664">
        <v>1.0</v>
      </c>
      <c r="O116" t="n" s="13665">
        <v>1.0</v>
      </c>
      <c r="P116" s="13666">
        <f>IF(HLOOKUP("Shots",A1:CV300,116,FALSE)=0,0,HLOOKUP("SIB",A1:CV300,116,FALSE)/HLOOKUP("Shots",A1:CV300,116,FALSE))</f>
      </c>
      <c r="Q116" t="n" s="13667">
        <v>0.0</v>
      </c>
      <c r="R116" s="13668">
        <f>IF(HLOOKUP("Shots",A1:CV300,116,FALSE)=0,0,HLOOKUP("S6YD",A1:CV300,116,FALSE)/HLOOKUP("Shots",A1:CV300,116,FALSE))</f>
      </c>
      <c r="S116" t="n" s="13669">
        <v>0.0</v>
      </c>
      <c r="T116" s="13670">
        <f>IF(HLOOKUP("Shots",A1:CV300,116,FALSE)=0,0,HLOOKUP("Headers",A1:CV300,116,FALSE)/HLOOKUP("Shots",A1:CV300,116,FALSE))</f>
      </c>
      <c r="U116" t="n" s="13671">
        <v>1.0</v>
      </c>
      <c r="V116" s="13672">
        <f>IF(HLOOKUP("Shots",A1:CV300,116,FALSE)=0,0,HLOOKUP("SOT",A1:CV300,116,FALSE)/HLOOKUP("Shots",A1:CV300,116,FALSE))</f>
      </c>
      <c r="W116" s="13673">
        <f>IF(HLOOKUP("Shots",A1:CV300,116,FALSE)=0,0,HLOOKUP("Gs",A1:CV300,116,FALSE)/HLOOKUP("Shots",A1:CV300,116,FALSE))</f>
      </c>
      <c r="X116" t="n" s="13674">
        <v>0.0</v>
      </c>
      <c r="Y116" t="n" s="13675">
        <v>1.0</v>
      </c>
      <c r="Z116" t="n" s="13676">
        <v>1.0</v>
      </c>
      <c r="AA116" s="13677">
        <f>IF(HLOOKUP("KP",A1:CV300,116,FALSE)=0,0,HLOOKUP("As",A1:CV300,116,FALSE)/HLOOKUP("KP",A1:CV300,116,FALSE))</f>
      </c>
      <c r="AB116" t="n" s="13678">
        <v>15.1</v>
      </c>
      <c r="AC116" t="n" s="13679">
        <v>0.0</v>
      </c>
      <c r="AD116" t="n" s="13680">
        <v>0.0</v>
      </c>
      <c r="AE116" t="n" s="13681">
        <v>0.0</v>
      </c>
      <c r="AF116" t="n" s="13682">
        <v>0.0</v>
      </c>
      <c r="AG116" s="13683">
        <f>IF(HLOOKUP("BC",A1:CV300,116,FALSE)=0,0,HLOOKUP("Gs - BC",A1:CV300,116,FALSE)/HLOOKUP("BC",A1:CV300,116,FALSE))</f>
      </c>
      <c r="AH116" s="13684">
        <f>HLOOKUP("BC",A1:CV300,116,FALSE) - HLOOKUP("BC Miss",A1:CV300,116,FALSE)</f>
      </c>
      <c r="AI116" s="13685">
        <f>IF(HLOOKUP("Gs",A1:CV300,116,FALSE)=0,0,HLOOKUP("Gs - BC",A1:CV300,116,FALSE)/HLOOKUP("Gs",A1:CV300,116,FALSE))</f>
      </c>
      <c r="AJ116" t="n" s="13686">
        <v>0.0</v>
      </c>
      <c r="AK116" t="n" s="13687">
        <v>0.0</v>
      </c>
      <c r="AL116" s="13688">
        <f>HLOOKUP("BC",A1:CV300,116,FALSE) - (HLOOKUP("PK Gs",A1:CV300,116,FALSE) + HLOOKUP("PK Miss",A1:CV300,116,FALSE))</f>
      </c>
      <c r="AM116" s="13689">
        <f>HLOOKUP("BC Miss",A1:CV300,116,FALSE) - HLOOKUP("PK Miss",A1:CV300,116,FALSE)</f>
      </c>
      <c r="AN116" s="13690">
        <f>IF(HLOOKUP("BC - Open",A1:CV300,116,FALSE)=0,0,HLOOKUP("BC - Open Miss",A1:CV300,116,FALSE)/HLOOKUP("BC - Open",A1:CV300,116,FALSE))</f>
      </c>
      <c r="AO116" t="n" s="13691">
        <v>0.0</v>
      </c>
      <c r="AP116" s="13692">
        <f>IF(HLOOKUP("Gs",A1:CV300,116,FALSE)=0,0,HLOOKUP("GIB",A1:CV300,116,FALSE)/HLOOKUP("Gs",A1:CV300,116,FALSE))</f>
      </c>
      <c r="AQ116" t="n" s="13693">
        <v>0.0</v>
      </c>
      <c r="AR116" s="13694">
        <f>IF(HLOOKUP("Gs",A1:CV300,116,FALSE)=0,0,HLOOKUP("Gs - Open",A1:CV300,116,FALSE)/HLOOKUP("Gs",A1:CV300,116,FALSE))</f>
      </c>
      <c r="AS116" t="n" s="13695">
        <v>0.16</v>
      </c>
      <c r="AT116" t="n" s="13696">
        <v>0.07</v>
      </c>
      <c r="AU116" s="13697">
        <f>IF(HLOOKUP("Mins",A1:CV300,116,FALSE)=0,0,HLOOKUP("Pts",A1:CV300,116,FALSE)/HLOOKUP("Mins",A1:CV300,116,FALSE)* 90)</f>
      </c>
      <c r="AV116" s="13698">
        <f>IF(HLOOKUP("Apps",A1:CV300,116,FALSE)=0,0,HLOOKUP("Pts",A1:CV300,116,FALSE)/HLOOKUP("Apps",A1:CV300,116,FALSE)* 1)</f>
      </c>
      <c r="AW116" s="13699">
        <f>IF(HLOOKUP("Mins",A1:CV300,116,FALSE)=0,0,HLOOKUP("Gs",A1:CV300,116,FALSE)/HLOOKUP("Mins",A1:CV300,116,FALSE)* 90)</f>
      </c>
      <c r="AX116" s="13700">
        <f>IF(HLOOKUP("Mins",A1:CV300,116,FALSE)=0,0,HLOOKUP("Bonus",A1:CV300,116,FALSE)/HLOOKUP("Mins",A1:CV300,116,FALSE)* 90)</f>
      </c>
      <c r="AY116" s="13701">
        <f>IF(HLOOKUP("Mins",A1:CV300,116,FALSE)=0,0,HLOOKUP("BPS",A1:CV300,116,FALSE)/HLOOKUP("Mins",A1:CV300,116,FALSE)* 90)</f>
      </c>
      <c r="AZ116" s="13702">
        <f>IF(HLOOKUP("Mins",A1:CV300,116,FALSE)=0,0,HLOOKUP("Base BPS",A1:CV300,116,FALSE)/HLOOKUP("Mins",A1:CV300,116,FALSE)* 90)</f>
      </c>
      <c r="BA116" s="13703">
        <f>IF(HLOOKUP("Mins",A1:CV300,116,FALSE)=0,0,HLOOKUP("PenTchs",A1:CV300,116,FALSE)/HLOOKUP("Mins",A1:CV300,116,FALSE)* 90)</f>
      </c>
      <c r="BB116" s="13704">
        <f>IF(HLOOKUP("Mins",A1:CV300,116,FALSE)=0,0,HLOOKUP("Shots",A1:CV300,116,FALSE)/HLOOKUP("Mins",A1:CV300,116,FALSE)* 90)</f>
      </c>
      <c r="BC116" s="13705">
        <f>IF(HLOOKUP("Mins",A1:CV300,116,FALSE)=0,0,HLOOKUP("SIB",A1:CV300,116,FALSE)/HLOOKUP("Mins",A1:CV300,116,FALSE)* 90)</f>
      </c>
      <c r="BD116" s="13706">
        <f>IF(HLOOKUP("Mins",A1:CV300,116,FALSE)=0,0,HLOOKUP("S6YD",A1:CV300,116,FALSE)/HLOOKUP("Mins",A1:CV300,116,FALSE)* 90)</f>
      </c>
      <c r="BE116" s="13707">
        <f>IF(HLOOKUP("Mins",A1:CV300,116,FALSE)=0,0,HLOOKUP("Headers",A1:CV300,116,FALSE)/HLOOKUP("Mins",A1:CV300,116,FALSE)* 90)</f>
      </c>
      <c r="BF116" s="13708">
        <f>IF(HLOOKUP("Mins",A1:CV300,116,FALSE)=0,0,HLOOKUP("SOT",A1:CV300,116,FALSE)/HLOOKUP("Mins",A1:CV300,116,FALSE)* 90)</f>
      </c>
      <c r="BG116" s="13709">
        <f>IF(HLOOKUP("Mins",A1:CV300,116,FALSE)=0,0,HLOOKUP("As",A1:CV300,116,FALSE)/HLOOKUP("Mins",A1:CV300,116,FALSE)* 90)</f>
      </c>
      <c r="BH116" s="13710">
        <f>IF(HLOOKUP("Mins",A1:CV300,116,FALSE)=0,0,HLOOKUP("FPL As",A1:CV300,116,FALSE)/HLOOKUP("Mins",A1:CV300,116,FALSE)* 90)</f>
      </c>
      <c r="BI116" s="13711">
        <f>IF(HLOOKUP("Mins",A1:CV300,116,FALSE)=0,0,HLOOKUP("BC Created",A1:CV300,116,FALSE)/HLOOKUP("Mins",A1:CV300,116,FALSE)* 90)</f>
      </c>
      <c r="BJ116" s="13712">
        <f>IF(HLOOKUP("Mins",A1:CV300,116,FALSE)=0,0,HLOOKUP("KP",A1:CV300,116,FALSE)/HLOOKUP("Mins",A1:CV300,116,FALSE)* 90)</f>
      </c>
      <c r="BK116" s="13713">
        <f>IF(HLOOKUP("Mins",A1:CV300,116,FALSE)=0,0,HLOOKUP("BC",A1:CV300,116,FALSE)/HLOOKUP("Mins",A1:CV300,116,FALSE)* 90)</f>
      </c>
      <c r="BL116" s="13714">
        <f>IF(HLOOKUP("Mins",A1:CV300,116,FALSE)=0,0,HLOOKUP("BC Miss",A1:CV300,116,FALSE)/HLOOKUP("Mins",A1:CV300,116,FALSE)* 90)</f>
      </c>
      <c r="BM116" s="13715">
        <f>IF(HLOOKUP("Mins",A1:CV300,116,FALSE)=0,0,HLOOKUP("Gs - BC",A1:CV300,116,FALSE)/HLOOKUP("Mins",A1:CV300,116,FALSE)* 90)</f>
      </c>
      <c r="BN116" s="13716">
        <f>IF(HLOOKUP("Mins",A1:CV300,116,FALSE)=0,0,HLOOKUP("GIB",A1:CV300,116,FALSE)/HLOOKUP("Mins",A1:CV300,116,FALSE)* 90)</f>
      </c>
      <c r="BO116" s="13717">
        <f>IF(HLOOKUP("Mins",A1:CV300,116,FALSE)=0,0,HLOOKUP("Gs - Open",A1:CV300,116,FALSE)/HLOOKUP("Mins",A1:CV300,116,FALSE)* 90)</f>
      </c>
      <c r="BP116" s="13718">
        <f>IF(HLOOKUP("Mins",A1:CV300,116,FALSE)=0,0,HLOOKUP("ICT Index",A1:CV300,116,FALSE)/HLOOKUP("Mins",A1:CV300,116,FALSE)* 90)</f>
      </c>
      <c r="BQ116" s="13719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3720">
        <f>0.0825*HLOOKUP("KP/90",A1:CV300,116,FALSE)</f>
      </c>
      <c r="BS116" s="13721">
        <f>6*HLOOKUP("xG/90",A1:CV300,116,FALSE)+3*HLOOKUP("xA/90",A1:CV300,116,FALSE)</f>
      </c>
      <c r="BT116" s="13722">
        <f>HLOOKUP("xPts/90",A1:CV300,116,FALSE)-(6*0.75*(HLOOKUP("PK Gs",A1:CV300,116,FALSE)+HLOOKUP("PK Miss",A1:CV300,116,FALSE))*90/HLOOKUP("Mins",A1:CV300,116,FALSE))</f>
      </c>
      <c r="BU116" s="13723">
        <f>IF(HLOOKUP("Mins",A1:CV300,116,FALSE)=0,0,HLOOKUP("fsXG",A1:CV300,116,FALSE)/HLOOKUP("Mins",A1:CV300,116,FALSE)* 90)</f>
      </c>
      <c r="BV116" s="13724">
        <f>IF(HLOOKUP("Mins",A1:CV300,116,FALSE)=0,0,HLOOKUP("fsXA",A1:CV300,116,FALSE)/HLOOKUP("Mins",A1:CV300,116,FALSE)* 90)</f>
      </c>
      <c r="BW116" s="13725">
        <f>6*HLOOKUP("fsXG/90",A1:CV300,116,FALSE)+3*HLOOKUP("fsXA/90",A1:CV300,116,FALSE)</f>
      </c>
      <c r="BX116" t="n" s="13726">
        <v>0.011721549555659294</v>
      </c>
      <c r="BY116" t="n" s="13727">
        <v>0.012244864366948605</v>
      </c>
      <c r="BZ116" s="13728">
        <f>6*HLOOKUP("uXG/90",A1:CV300,116,FALSE)+3*HLOOKUP("uXA/90",A1:CV300,116,FALSE)</f>
      </c>
    </row>
    <row r="117">
      <c r="A117" t="s" s="13729">
        <v>273</v>
      </c>
      <c r="B117" t="s" s="13730">
        <v>85</v>
      </c>
      <c r="C117" t="n" s="13731">
        <v>5.099999904632568</v>
      </c>
      <c r="D117" t="n" s="13732">
        <v>540.0</v>
      </c>
      <c r="E117" t="n" s="13733">
        <v>6.0</v>
      </c>
      <c r="F117" t="n" s="13734">
        <v>85.0</v>
      </c>
      <c r="G117" t="n" s="13735">
        <v>0.0</v>
      </c>
      <c r="H117" t="n" s="13736">
        <v>7.0</v>
      </c>
      <c r="I117" t="n" s="13737">
        <v>402.0</v>
      </c>
      <c r="J117" s="13738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3739">
        <v>0.0</v>
      </c>
      <c r="L117" t="n" s="13740">
        <v>8.0</v>
      </c>
      <c r="M117" t="n" s="13741">
        <v>11.0</v>
      </c>
      <c r="N117" t="n" s="13742">
        <v>2.0</v>
      </c>
      <c r="O117" t="n" s="13743">
        <v>1.0</v>
      </c>
      <c r="P117" s="13744">
        <f>IF(HLOOKUP("Shots",A1:CV300,117,FALSE)=0,0,HLOOKUP("SIB",A1:CV300,117,FALSE)/HLOOKUP("Shots",A1:CV300,117,FALSE))</f>
      </c>
      <c r="Q117" t="n" s="13745">
        <v>0.0</v>
      </c>
      <c r="R117" s="13746">
        <f>IF(HLOOKUP("Shots",A1:CV300,117,FALSE)=0,0,HLOOKUP("S6YD",A1:CV300,117,FALSE)/HLOOKUP("Shots",A1:CV300,117,FALSE))</f>
      </c>
      <c r="S117" t="n" s="13747">
        <v>0.0</v>
      </c>
      <c r="T117" s="13748">
        <f>IF(HLOOKUP("Shots",A1:CV300,117,FALSE)=0,0,HLOOKUP("Headers",A1:CV300,117,FALSE)/HLOOKUP("Shots",A1:CV300,117,FALSE))</f>
      </c>
      <c r="U117" t="n" s="13749">
        <v>0.0</v>
      </c>
      <c r="V117" s="13750">
        <f>IF(HLOOKUP("Shots",A1:CV300,117,FALSE)=0,0,HLOOKUP("SOT",A1:CV300,117,FALSE)/HLOOKUP("Shots",A1:CV300,117,FALSE))</f>
      </c>
      <c r="W117" s="13751">
        <f>IF(HLOOKUP("Shots",A1:CV300,117,FALSE)=0,0,HLOOKUP("Gs",A1:CV300,117,FALSE)/HLOOKUP("Shots",A1:CV300,117,FALSE))</f>
      </c>
      <c r="X117" t="n" s="13752">
        <v>0.0</v>
      </c>
      <c r="Y117" t="n" s="13753">
        <v>2.0</v>
      </c>
      <c r="Z117" t="n" s="13754">
        <v>8.0</v>
      </c>
      <c r="AA117" s="13755">
        <f>IF(HLOOKUP("KP",A1:CV300,117,FALSE)=0,0,HLOOKUP("As",A1:CV300,117,FALSE)/HLOOKUP("KP",A1:CV300,117,FALSE))</f>
      </c>
      <c r="AB117" t="n" s="13756">
        <v>22.7</v>
      </c>
      <c r="AC117" t="n" s="13757">
        <v>0.0</v>
      </c>
      <c r="AD117" t="n" s="13758">
        <v>2.0</v>
      </c>
      <c r="AE117" t="n" s="13759">
        <v>0.0</v>
      </c>
      <c r="AF117" t="n" s="13760">
        <v>0.0</v>
      </c>
      <c r="AG117" s="13761">
        <f>IF(HLOOKUP("BC",A1:CV300,117,FALSE)=0,0,HLOOKUP("Gs - BC",A1:CV300,117,FALSE)/HLOOKUP("BC",A1:CV300,117,FALSE))</f>
      </c>
      <c r="AH117" s="13762">
        <f>HLOOKUP("BC",A1:CV300,117,FALSE) - HLOOKUP("BC Miss",A1:CV300,117,FALSE)</f>
      </c>
      <c r="AI117" s="13763">
        <f>IF(HLOOKUP("Gs",A1:CV300,117,FALSE)=0,0,HLOOKUP("Gs - BC",A1:CV300,117,FALSE)/HLOOKUP("Gs",A1:CV300,117,FALSE))</f>
      </c>
      <c r="AJ117" t="n" s="13764">
        <v>0.0</v>
      </c>
      <c r="AK117" t="n" s="13765">
        <v>0.0</v>
      </c>
      <c r="AL117" s="13766">
        <f>HLOOKUP("BC",A1:CV300,117,FALSE) - (HLOOKUP("PK Gs",A1:CV300,117,FALSE) + HLOOKUP("PK Miss",A1:CV300,117,FALSE))</f>
      </c>
      <c r="AM117" s="13767">
        <f>HLOOKUP("BC Miss",A1:CV300,117,FALSE) - HLOOKUP("PK Miss",A1:CV300,117,FALSE)</f>
      </c>
      <c r="AN117" s="13768">
        <f>IF(HLOOKUP("BC - Open",A1:CV300,117,FALSE)=0,0,HLOOKUP("BC - Open Miss",A1:CV300,117,FALSE)/HLOOKUP("BC - Open",A1:CV300,117,FALSE))</f>
      </c>
      <c r="AO117" t="n" s="13769">
        <v>0.0</v>
      </c>
      <c r="AP117" s="13770">
        <f>IF(HLOOKUP("Gs",A1:CV300,117,FALSE)=0,0,HLOOKUP("GIB",A1:CV300,117,FALSE)/HLOOKUP("Gs",A1:CV300,117,FALSE))</f>
      </c>
      <c r="AQ117" t="n" s="13771">
        <v>0.0</v>
      </c>
      <c r="AR117" s="13772">
        <f>IF(HLOOKUP("Gs",A1:CV300,117,FALSE)=0,0,HLOOKUP("Gs - Open",A1:CV300,117,FALSE)/HLOOKUP("Gs",A1:CV300,117,FALSE))</f>
      </c>
      <c r="AS117" t="n" s="13773">
        <v>0.09</v>
      </c>
      <c r="AT117" t="n" s="13774">
        <v>0.95</v>
      </c>
      <c r="AU117" s="13775">
        <f>IF(HLOOKUP("Mins",A1:CV300,117,FALSE)=0,0,HLOOKUP("Pts",A1:CV300,117,FALSE)/HLOOKUP("Mins",A1:CV300,117,FALSE)* 90)</f>
      </c>
      <c r="AV117" s="13776">
        <f>IF(HLOOKUP("Apps",A1:CV300,117,FALSE)=0,0,HLOOKUP("Pts",A1:CV300,117,FALSE)/HLOOKUP("Apps",A1:CV300,117,FALSE)* 1)</f>
      </c>
      <c r="AW117" s="13777">
        <f>IF(HLOOKUP("Mins",A1:CV300,117,FALSE)=0,0,HLOOKUP("Gs",A1:CV300,117,FALSE)/HLOOKUP("Mins",A1:CV300,117,FALSE)* 90)</f>
      </c>
      <c r="AX117" s="13778">
        <f>IF(HLOOKUP("Mins",A1:CV300,117,FALSE)=0,0,HLOOKUP("Bonus",A1:CV300,117,FALSE)/HLOOKUP("Mins",A1:CV300,117,FALSE)* 90)</f>
      </c>
      <c r="AY117" s="13779">
        <f>IF(HLOOKUP("Mins",A1:CV300,117,FALSE)=0,0,HLOOKUP("BPS",A1:CV300,117,FALSE)/HLOOKUP("Mins",A1:CV300,117,FALSE)* 90)</f>
      </c>
      <c r="AZ117" s="13780">
        <f>IF(HLOOKUP("Mins",A1:CV300,117,FALSE)=0,0,HLOOKUP("Base BPS",A1:CV300,117,FALSE)/HLOOKUP("Mins",A1:CV300,117,FALSE)* 90)</f>
      </c>
      <c r="BA117" s="13781">
        <f>IF(HLOOKUP("Mins",A1:CV300,117,FALSE)=0,0,HLOOKUP("PenTchs",A1:CV300,117,FALSE)/HLOOKUP("Mins",A1:CV300,117,FALSE)* 90)</f>
      </c>
      <c r="BB117" s="13782">
        <f>IF(HLOOKUP("Mins",A1:CV300,117,FALSE)=0,0,HLOOKUP("Shots",A1:CV300,117,FALSE)/HLOOKUP("Mins",A1:CV300,117,FALSE)* 90)</f>
      </c>
      <c r="BC117" s="13783">
        <f>IF(HLOOKUP("Mins",A1:CV300,117,FALSE)=0,0,HLOOKUP("SIB",A1:CV300,117,FALSE)/HLOOKUP("Mins",A1:CV300,117,FALSE)* 90)</f>
      </c>
      <c r="BD117" s="13784">
        <f>IF(HLOOKUP("Mins",A1:CV300,117,FALSE)=0,0,HLOOKUP("S6YD",A1:CV300,117,FALSE)/HLOOKUP("Mins",A1:CV300,117,FALSE)* 90)</f>
      </c>
      <c r="BE117" s="13785">
        <f>IF(HLOOKUP("Mins",A1:CV300,117,FALSE)=0,0,HLOOKUP("Headers",A1:CV300,117,FALSE)/HLOOKUP("Mins",A1:CV300,117,FALSE)* 90)</f>
      </c>
      <c r="BF117" s="13786">
        <f>IF(HLOOKUP("Mins",A1:CV300,117,FALSE)=0,0,HLOOKUP("SOT",A1:CV300,117,FALSE)/HLOOKUP("Mins",A1:CV300,117,FALSE)* 90)</f>
      </c>
      <c r="BG117" s="13787">
        <f>IF(HLOOKUP("Mins",A1:CV300,117,FALSE)=0,0,HLOOKUP("As",A1:CV300,117,FALSE)/HLOOKUP("Mins",A1:CV300,117,FALSE)* 90)</f>
      </c>
      <c r="BH117" s="13788">
        <f>IF(HLOOKUP("Mins",A1:CV300,117,FALSE)=0,0,HLOOKUP("FPL As",A1:CV300,117,FALSE)/HLOOKUP("Mins",A1:CV300,117,FALSE)* 90)</f>
      </c>
      <c r="BI117" s="13789">
        <f>IF(HLOOKUP("Mins",A1:CV300,117,FALSE)=0,0,HLOOKUP("BC Created",A1:CV300,117,FALSE)/HLOOKUP("Mins",A1:CV300,117,FALSE)* 90)</f>
      </c>
      <c r="BJ117" s="13790">
        <f>IF(HLOOKUP("Mins",A1:CV300,117,FALSE)=0,0,HLOOKUP("KP",A1:CV300,117,FALSE)/HLOOKUP("Mins",A1:CV300,117,FALSE)* 90)</f>
      </c>
      <c r="BK117" s="13791">
        <f>IF(HLOOKUP("Mins",A1:CV300,117,FALSE)=0,0,HLOOKUP("BC",A1:CV300,117,FALSE)/HLOOKUP("Mins",A1:CV300,117,FALSE)* 90)</f>
      </c>
      <c r="BL117" s="13792">
        <f>IF(HLOOKUP("Mins",A1:CV300,117,FALSE)=0,0,HLOOKUP("BC Miss",A1:CV300,117,FALSE)/HLOOKUP("Mins",A1:CV300,117,FALSE)* 90)</f>
      </c>
      <c r="BM117" s="13793">
        <f>IF(HLOOKUP("Mins",A1:CV300,117,FALSE)=0,0,HLOOKUP("Gs - BC",A1:CV300,117,FALSE)/HLOOKUP("Mins",A1:CV300,117,FALSE)* 90)</f>
      </c>
      <c r="BN117" s="13794">
        <f>IF(HLOOKUP("Mins",A1:CV300,117,FALSE)=0,0,HLOOKUP("GIB",A1:CV300,117,FALSE)/HLOOKUP("Mins",A1:CV300,117,FALSE)* 90)</f>
      </c>
      <c r="BO117" s="13795">
        <f>IF(HLOOKUP("Mins",A1:CV300,117,FALSE)=0,0,HLOOKUP("Gs - Open",A1:CV300,117,FALSE)/HLOOKUP("Mins",A1:CV300,117,FALSE)* 90)</f>
      </c>
      <c r="BP117" s="13796">
        <f>IF(HLOOKUP("Mins",A1:CV300,117,FALSE)=0,0,HLOOKUP("ICT Index",A1:CV300,117,FALSE)/HLOOKUP("Mins",A1:CV300,117,FALSE)* 90)</f>
      </c>
      <c r="BQ117" s="13797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3798">
        <f>0.0825*HLOOKUP("KP/90",A1:CV300,117,FALSE)</f>
      </c>
      <c r="BS117" s="13799">
        <f>6*HLOOKUP("xG/90",A1:CV300,117,FALSE)+3*HLOOKUP("xA/90",A1:CV300,117,FALSE)</f>
      </c>
      <c r="BT117" s="13800">
        <f>HLOOKUP("xPts/90",A1:CV300,117,FALSE)-(6*0.75*(HLOOKUP("PK Gs",A1:CV300,117,FALSE)+HLOOKUP("PK Miss",A1:CV300,117,FALSE))*90/HLOOKUP("Mins",A1:CV300,117,FALSE))</f>
      </c>
      <c r="BU117" s="13801">
        <f>IF(HLOOKUP("Mins",A1:CV300,117,FALSE)=0,0,HLOOKUP("fsXG",A1:CV300,117,FALSE)/HLOOKUP("Mins",A1:CV300,117,FALSE)* 90)</f>
      </c>
      <c r="BV117" s="13802">
        <f>IF(HLOOKUP("Mins",A1:CV300,117,FALSE)=0,0,HLOOKUP("fsXA",A1:CV300,117,FALSE)/HLOOKUP("Mins",A1:CV300,117,FALSE)* 90)</f>
      </c>
      <c r="BW117" s="13803">
        <f>6*HLOOKUP("fsXG/90",A1:CV300,117,FALSE)+3*HLOOKUP("fsXA/90",A1:CV300,117,FALSE)</f>
      </c>
      <c r="BX117" t="n" s="13804">
        <v>0.01640740968286991</v>
      </c>
      <c r="BY117" t="n" s="13805">
        <v>0.21623702347278595</v>
      </c>
      <c r="BZ117" s="13806">
        <f>6*HLOOKUP("uXG/90",A1:CV300,117,FALSE)+3*HLOOKUP("uXA/90",A1:CV300,117,FALSE)</f>
      </c>
    </row>
    <row r="118">
      <c r="A118" t="s" s="13807">
        <v>274</v>
      </c>
      <c r="B118" t="s" s="13808">
        <v>114</v>
      </c>
      <c r="C118" t="n" s="13809">
        <v>5.300000190734863</v>
      </c>
      <c r="D118" t="n" s="13810">
        <v>275.0</v>
      </c>
      <c r="E118" t="n" s="13811">
        <v>5.0</v>
      </c>
      <c r="F118" t="n" s="13812">
        <v>29.0</v>
      </c>
      <c r="G118" t="n" s="13813">
        <v>0.0</v>
      </c>
      <c r="H118" t="n" s="13814">
        <v>2.0</v>
      </c>
      <c r="I118" t="n" s="13815">
        <v>182.0</v>
      </c>
      <c r="J118" s="13816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3817">
        <v>0.0</v>
      </c>
      <c r="L118" t="n" s="13818">
        <v>3.0</v>
      </c>
      <c r="M118" t="n" s="13819">
        <v>5.0</v>
      </c>
      <c r="N118" t="n" s="13820">
        <v>2.0</v>
      </c>
      <c r="O118" t="n" s="13821">
        <v>1.0</v>
      </c>
      <c r="P118" s="13822">
        <f>IF(HLOOKUP("Shots",A1:CV300,118,FALSE)=0,0,HLOOKUP("SIB",A1:CV300,118,FALSE)/HLOOKUP("Shots",A1:CV300,118,FALSE))</f>
      </c>
      <c r="Q118" t="n" s="13823">
        <v>0.0</v>
      </c>
      <c r="R118" s="13824">
        <f>IF(HLOOKUP("Shots",A1:CV300,118,FALSE)=0,0,HLOOKUP("S6YD",A1:CV300,118,FALSE)/HLOOKUP("Shots",A1:CV300,118,FALSE))</f>
      </c>
      <c r="S118" t="n" s="13825">
        <v>0.0</v>
      </c>
      <c r="T118" s="13826">
        <f>IF(HLOOKUP("Shots",A1:CV300,118,FALSE)=0,0,HLOOKUP("Headers",A1:CV300,118,FALSE)/HLOOKUP("Shots",A1:CV300,118,FALSE))</f>
      </c>
      <c r="U118" t="n" s="13827">
        <v>1.0</v>
      </c>
      <c r="V118" s="13828">
        <f>IF(HLOOKUP("Shots",A1:CV300,118,FALSE)=0,0,HLOOKUP("SOT",A1:CV300,118,FALSE)/HLOOKUP("Shots",A1:CV300,118,FALSE))</f>
      </c>
      <c r="W118" s="13829">
        <f>IF(HLOOKUP("Shots",A1:CV300,118,FALSE)=0,0,HLOOKUP("Gs",A1:CV300,118,FALSE)/HLOOKUP("Shots",A1:CV300,118,FALSE))</f>
      </c>
      <c r="X118" t="n" s="13830">
        <v>0.0</v>
      </c>
      <c r="Y118" t="n" s="13831">
        <v>1.0</v>
      </c>
      <c r="Z118" t="n" s="13832">
        <v>0.0</v>
      </c>
      <c r="AA118" s="13833">
        <f>IF(HLOOKUP("KP",A1:CV300,118,FALSE)=0,0,HLOOKUP("As",A1:CV300,118,FALSE)/HLOOKUP("KP",A1:CV300,118,FALSE))</f>
      </c>
      <c r="AB118" t="n" s="13834">
        <v>8.5</v>
      </c>
      <c r="AC118" t="n" s="13835">
        <v>0.0</v>
      </c>
      <c r="AD118" t="n" s="13836">
        <v>0.0</v>
      </c>
      <c r="AE118" t="n" s="13837">
        <v>0.0</v>
      </c>
      <c r="AF118" t="n" s="13838">
        <v>0.0</v>
      </c>
      <c r="AG118" s="13839">
        <f>IF(HLOOKUP("BC",A1:CV300,118,FALSE)=0,0,HLOOKUP("Gs - BC",A1:CV300,118,FALSE)/HLOOKUP("BC",A1:CV300,118,FALSE))</f>
      </c>
      <c r="AH118" s="13840">
        <f>HLOOKUP("BC",A1:CV300,118,FALSE) - HLOOKUP("BC Miss",A1:CV300,118,FALSE)</f>
      </c>
      <c r="AI118" s="13841">
        <f>IF(HLOOKUP("Gs",A1:CV300,118,FALSE)=0,0,HLOOKUP("Gs - BC",A1:CV300,118,FALSE)/HLOOKUP("Gs",A1:CV300,118,FALSE))</f>
      </c>
      <c r="AJ118" t="n" s="13842">
        <v>0.0</v>
      </c>
      <c r="AK118" t="n" s="13843">
        <v>0.0</v>
      </c>
      <c r="AL118" s="13844">
        <f>HLOOKUP("BC",A1:CV300,118,FALSE) - (HLOOKUP("PK Gs",A1:CV300,118,FALSE) + HLOOKUP("PK Miss",A1:CV300,118,FALSE))</f>
      </c>
      <c r="AM118" s="13845">
        <f>HLOOKUP("BC Miss",A1:CV300,118,FALSE) - HLOOKUP("PK Miss",A1:CV300,118,FALSE)</f>
      </c>
      <c r="AN118" s="13846">
        <f>IF(HLOOKUP("BC - Open",A1:CV300,118,FALSE)=0,0,HLOOKUP("BC - Open Miss",A1:CV300,118,FALSE)/HLOOKUP("BC - Open",A1:CV300,118,FALSE))</f>
      </c>
      <c r="AO118" t="n" s="13847">
        <v>0.0</v>
      </c>
      <c r="AP118" s="13848">
        <f>IF(HLOOKUP("Gs",A1:CV300,118,FALSE)=0,0,HLOOKUP("GIB",A1:CV300,118,FALSE)/HLOOKUP("Gs",A1:CV300,118,FALSE))</f>
      </c>
      <c r="AQ118" t="n" s="13849">
        <v>0.0</v>
      </c>
      <c r="AR118" s="13850">
        <f>IF(HLOOKUP("Gs",A1:CV300,118,FALSE)=0,0,HLOOKUP("Gs - Open",A1:CV300,118,FALSE)/HLOOKUP("Gs",A1:CV300,118,FALSE))</f>
      </c>
      <c r="AS118" t="n" s="13851">
        <v>0.09</v>
      </c>
      <c r="AT118" t="n" s="13852">
        <v>0.02</v>
      </c>
      <c r="AU118" s="13853">
        <f>IF(HLOOKUP("Mins",A1:CV300,118,FALSE)=0,0,HLOOKUP("Pts",A1:CV300,118,FALSE)/HLOOKUP("Mins",A1:CV300,118,FALSE)* 90)</f>
      </c>
      <c r="AV118" s="13854">
        <f>IF(HLOOKUP("Apps",A1:CV300,118,FALSE)=0,0,HLOOKUP("Pts",A1:CV300,118,FALSE)/HLOOKUP("Apps",A1:CV300,118,FALSE)* 1)</f>
      </c>
      <c r="AW118" s="13855">
        <f>IF(HLOOKUP("Mins",A1:CV300,118,FALSE)=0,0,HLOOKUP("Gs",A1:CV300,118,FALSE)/HLOOKUP("Mins",A1:CV300,118,FALSE)* 90)</f>
      </c>
      <c r="AX118" s="13856">
        <f>IF(HLOOKUP("Mins",A1:CV300,118,FALSE)=0,0,HLOOKUP("Bonus",A1:CV300,118,FALSE)/HLOOKUP("Mins",A1:CV300,118,FALSE)* 90)</f>
      </c>
      <c r="AY118" s="13857">
        <f>IF(HLOOKUP("Mins",A1:CV300,118,FALSE)=0,0,HLOOKUP("BPS",A1:CV300,118,FALSE)/HLOOKUP("Mins",A1:CV300,118,FALSE)* 90)</f>
      </c>
      <c r="AZ118" s="13858">
        <f>IF(HLOOKUP("Mins",A1:CV300,118,FALSE)=0,0,HLOOKUP("Base BPS",A1:CV300,118,FALSE)/HLOOKUP("Mins",A1:CV300,118,FALSE)* 90)</f>
      </c>
      <c r="BA118" s="13859">
        <f>IF(HLOOKUP("Mins",A1:CV300,118,FALSE)=0,0,HLOOKUP("PenTchs",A1:CV300,118,FALSE)/HLOOKUP("Mins",A1:CV300,118,FALSE)* 90)</f>
      </c>
      <c r="BB118" s="13860">
        <f>IF(HLOOKUP("Mins",A1:CV300,118,FALSE)=0,0,HLOOKUP("Shots",A1:CV300,118,FALSE)/HLOOKUP("Mins",A1:CV300,118,FALSE)* 90)</f>
      </c>
      <c r="BC118" s="13861">
        <f>IF(HLOOKUP("Mins",A1:CV300,118,FALSE)=0,0,HLOOKUP("SIB",A1:CV300,118,FALSE)/HLOOKUP("Mins",A1:CV300,118,FALSE)* 90)</f>
      </c>
      <c r="BD118" s="13862">
        <f>IF(HLOOKUP("Mins",A1:CV300,118,FALSE)=0,0,HLOOKUP("S6YD",A1:CV300,118,FALSE)/HLOOKUP("Mins",A1:CV300,118,FALSE)* 90)</f>
      </c>
      <c r="BE118" s="13863">
        <f>IF(HLOOKUP("Mins",A1:CV300,118,FALSE)=0,0,HLOOKUP("Headers",A1:CV300,118,FALSE)/HLOOKUP("Mins",A1:CV300,118,FALSE)* 90)</f>
      </c>
      <c r="BF118" s="13864">
        <f>IF(HLOOKUP("Mins",A1:CV300,118,FALSE)=0,0,HLOOKUP("SOT",A1:CV300,118,FALSE)/HLOOKUP("Mins",A1:CV300,118,FALSE)* 90)</f>
      </c>
      <c r="BG118" s="13865">
        <f>IF(HLOOKUP("Mins",A1:CV300,118,FALSE)=0,0,HLOOKUP("As",A1:CV300,118,FALSE)/HLOOKUP("Mins",A1:CV300,118,FALSE)* 90)</f>
      </c>
      <c r="BH118" s="13866">
        <f>IF(HLOOKUP("Mins",A1:CV300,118,FALSE)=0,0,HLOOKUP("FPL As",A1:CV300,118,FALSE)/HLOOKUP("Mins",A1:CV300,118,FALSE)* 90)</f>
      </c>
      <c r="BI118" s="13867">
        <f>IF(HLOOKUP("Mins",A1:CV300,118,FALSE)=0,0,HLOOKUP("BC Created",A1:CV300,118,FALSE)/HLOOKUP("Mins",A1:CV300,118,FALSE)* 90)</f>
      </c>
      <c r="BJ118" s="13868">
        <f>IF(HLOOKUP("Mins",A1:CV300,118,FALSE)=0,0,HLOOKUP("KP",A1:CV300,118,FALSE)/HLOOKUP("Mins",A1:CV300,118,FALSE)* 90)</f>
      </c>
      <c r="BK118" s="13869">
        <f>IF(HLOOKUP("Mins",A1:CV300,118,FALSE)=0,0,HLOOKUP("BC",A1:CV300,118,FALSE)/HLOOKUP("Mins",A1:CV300,118,FALSE)* 90)</f>
      </c>
      <c r="BL118" s="13870">
        <f>IF(HLOOKUP("Mins",A1:CV300,118,FALSE)=0,0,HLOOKUP("BC Miss",A1:CV300,118,FALSE)/HLOOKUP("Mins",A1:CV300,118,FALSE)* 90)</f>
      </c>
      <c r="BM118" s="13871">
        <f>IF(HLOOKUP("Mins",A1:CV300,118,FALSE)=0,0,HLOOKUP("Gs - BC",A1:CV300,118,FALSE)/HLOOKUP("Mins",A1:CV300,118,FALSE)* 90)</f>
      </c>
      <c r="BN118" s="13872">
        <f>IF(HLOOKUP("Mins",A1:CV300,118,FALSE)=0,0,HLOOKUP("GIB",A1:CV300,118,FALSE)/HLOOKUP("Mins",A1:CV300,118,FALSE)* 90)</f>
      </c>
      <c r="BO118" s="13873">
        <f>IF(HLOOKUP("Mins",A1:CV300,118,FALSE)=0,0,HLOOKUP("Gs - Open",A1:CV300,118,FALSE)/HLOOKUP("Mins",A1:CV300,118,FALSE)* 90)</f>
      </c>
      <c r="BP118" s="13874">
        <f>IF(HLOOKUP("Mins",A1:CV300,118,FALSE)=0,0,HLOOKUP("ICT Index",A1:CV300,118,FALSE)/HLOOKUP("Mins",A1:CV300,118,FALSE)* 90)</f>
      </c>
      <c r="BQ118" s="13875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3876">
        <f>0.0825*HLOOKUP("KP/90",A1:CV300,118,FALSE)</f>
      </c>
      <c r="BS118" s="13877">
        <f>6*HLOOKUP("xG/90",A1:CV300,118,FALSE)+3*HLOOKUP("xA/90",A1:CV300,118,FALSE)</f>
      </c>
      <c r="BT118" s="13878">
        <f>HLOOKUP("xPts/90",A1:CV300,118,FALSE)-(6*0.75*(HLOOKUP("PK Gs",A1:CV300,118,FALSE)+HLOOKUP("PK Miss",A1:CV300,118,FALSE))*90/HLOOKUP("Mins",A1:CV300,118,FALSE))</f>
      </c>
      <c r="BU118" s="13879">
        <f>IF(HLOOKUP("Mins",A1:CV300,118,FALSE)=0,0,HLOOKUP("fsXG",A1:CV300,118,FALSE)/HLOOKUP("Mins",A1:CV300,118,FALSE)* 90)</f>
      </c>
      <c r="BV118" s="13880">
        <f>IF(HLOOKUP("Mins",A1:CV300,118,FALSE)=0,0,HLOOKUP("fsXA",A1:CV300,118,FALSE)/HLOOKUP("Mins",A1:CV300,118,FALSE)* 90)</f>
      </c>
      <c r="BW118" s="13881">
        <f>6*HLOOKUP("fsXG/90",A1:CV300,118,FALSE)+3*HLOOKUP("fsXA/90",A1:CV300,118,FALSE)</f>
      </c>
      <c r="BX118" t="n" s="13882">
        <v>0.02766904979944229</v>
      </c>
      <c r="BY118" t="n" s="13883">
        <v>0.0</v>
      </c>
      <c r="BZ118" s="13884">
        <f>6*HLOOKUP("uXG/90",A1:CV300,118,FALSE)+3*HLOOKUP("uXA/90",A1:CV300,118,FALSE)</f>
      </c>
    </row>
    <row r="119">
      <c r="A119" t="s" s="13885">
        <v>275</v>
      </c>
      <c r="B119" t="s" s="13886">
        <v>98</v>
      </c>
      <c r="C119" t="n" s="13887">
        <v>4.800000190734863</v>
      </c>
      <c r="D119" t="n" s="13888">
        <v>540.0</v>
      </c>
      <c r="E119" t="n" s="13889">
        <v>6.0</v>
      </c>
      <c r="F119" t="n" s="13890">
        <v>32.0</v>
      </c>
      <c r="G119" t="n" s="13891">
        <v>0.0</v>
      </c>
      <c r="H119" t="n" s="13892">
        <v>0.0</v>
      </c>
      <c r="I119" t="n" s="13893">
        <v>187.0</v>
      </c>
      <c r="J119" s="13894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3895">
        <v>0.0</v>
      </c>
      <c r="L119" t="n" s="13896">
        <v>2.0</v>
      </c>
      <c r="M119" t="n" s="13897">
        <v>8.0</v>
      </c>
      <c r="N119" t="n" s="13898">
        <v>2.0</v>
      </c>
      <c r="O119" t="n" s="13899">
        <v>1.0</v>
      </c>
      <c r="P119" s="13900">
        <f>IF(HLOOKUP("Shots",A1:CV300,119,FALSE)=0,0,HLOOKUP("SIB",A1:CV300,119,FALSE)/HLOOKUP("Shots",A1:CV300,119,FALSE))</f>
      </c>
      <c r="Q119" t="n" s="13901">
        <v>0.0</v>
      </c>
      <c r="R119" s="13902">
        <f>IF(HLOOKUP("Shots",A1:CV300,119,FALSE)=0,0,HLOOKUP("S6YD",A1:CV300,119,FALSE)/HLOOKUP("Shots",A1:CV300,119,FALSE))</f>
      </c>
      <c r="S119" t="n" s="13903">
        <v>0.0</v>
      </c>
      <c r="T119" s="13904">
        <f>IF(HLOOKUP("Shots",A1:CV300,119,FALSE)=0,0,HLOOKUP("Headers",A1:CV300,119,FALSE)/HLOOKUP("Shots",A1:CV300,119,FALSE))</f>
      </c>
      <c r="U119" t="n" s="13905">
        <v>0.0</v>
      </c>
      <c r="V119" s="13906">
        <f>IF(HLOOKUP("Shots",A1:CV300,119,FALSE)=0,0,HLOOKUP("SOT",A1:CV300,119,FALSE)/HLOOKUP("Shots",A1:CV300,119,FALSE))</f>
      </c>
      <c r="W119" s="13907">
        <f>IF(HLOOKUP("Shots",A1:CV300,119,FALSE)=0,0,HLOOKUP("Gs",A1:CV300,119,FALSE)/HLOOKUP("Shots",A1:CV300,119,FALSE))</f>
      </c>
      <c r="X119" t="n" s="13908">
        <v>0.0</v>
      </c>
      <c r="Y119" t="n" s="13909">
        <v>1.0</v>
      </c>
      <c r="Z119" t="n" s="13910">
        <v>5.0</v>
      </c>
      <c r="AA119" s="13911">
        <f>IF(HLOOKUP("KP",A1:CV300,119,FALSE)=0,0,HLOOKUP("As",A1:CV300,119,FALSE)/HLOOKUP("KP",A1:CV300,119,FALSE))</f>
      </c>
      <c r="AB119" t="n" s="13912">
        <v>18.9</v>
      </c>
      <c r="AC119" t="n" s="13913">
        <v>0.0</v>
      </c>
      <c r="AD119" t="n" s="13914">
        <v>2.0</v>
      </c>
      <c r="AE119" t="n" s="13915">
        <v>0.0</v>
      </c>
      <c r="AF119" t="n" s="13916">
        <v>0.0</v>
      </c>
      <c r="AG119" s="13917">
        <f>IF(HLOOKUP("BC",A1:CV300,119,FALSE)=0,0,HLOOKUP("Gs - BC",A1:CV300,119,FALSE)/HLOOKUP("BC",A1:CV300,119,FALSE))</f>
      </c>
      <c r="AH119" s="13918">
        <f>HLOOKUP("BC",A1:CV300,119,FALSE) - HLOOKUP("BC Miss",A1:CV300,119,FALSE)</f>
      </c>
      <c r="AI119" s="13919">
        <f>IF(HLOOKUP("Gs",A1:CV300,119,FALSE)=0,0,HLOOKUP("Gs - BC",A1:CV300,119,FALSE)/HLOOKUP("Gs",A1:CV300,119,FALSE))</f>
      </c>
      <c r="AJ119" t="n" s="13920">
        <v>0.0</v>
      </c>
      <c r="AK119" t="n" s="13921">
        <v>0.0</v>
      </c>
      <c r="AL119" s="13922">
        <f>HLOOKUP("BC",A1:CV300,119,FALSE) - (HLOOKUP("PK Gs",A1:CV300,119,FALSE) + HLOOKUP("PK Miss",A1:CV300,119,FALSE))</f>
      </c>
      <c r="AM119" s="13923">
        <f>HLOOKUP("BC Miss",A1:CV300,119,FALSE) - HLOOKUP("PK Miss",A1:CV300,119,FALSE)</f>
      </c>
      <c r="AN119" s="13924">
        <f>IF(HLOOKUP("BC - Open",A1:CV300,119,FALSE)=0,0,HLOOKUP("BC - Open Miss",A1:CV300,119,FALSE)/HLOOKUP("BC - Open",A1:CV300,119,FALSE))</f>
      </c>
      <c r="AO119" t="n" s="13925">
        <v>0.0</v>
      </c>
      <c r="AP119" s="13926">
        <f>IF(HLOOKUP("Gs",A1:CV300,119,FALSE)=0,0,HLOOKUP("GIB",A1:CV300,119,FALSE)/HLOOKUP("Gs",A1:CV300,119,FALSE))</f>
      </c>
      <c r="AQ119" t="n" s="13927">
        <v>0.0</v>
      </c>
      <c r="AR119" s="13928">
        <f>IF(HLOOKUP("Gs",A1:CV300,119,FALSE)=0,0,HLOOKUP("Gs - Open",A1:CV300,119,FALSE)/HLOOKUP("Gs",A1:CV300,119,FALSE))</f>
      </c>
      <c r="AS119" t="n" s="13929">
        <v>0.14</v>
      </c>
      <c r="AT119" t="n" s="13930">
        <v>1.23</v>
      </c>
      <c r="AU119" s="13931">
        <f>IF(HLOOKUP("Mins",A1:CV300,119,FALSE)=0,0,HLOOKUP("Pts",A1:CV300,119,FALSE)/HLOOKUP("Mins",A1:CV300,119,FALSE)* 90)</f>
      </c>
      <c r="AV119" s="13932">
        <f>IF(HLOOKUP("Apps",A1:CV300,119,FALSE)=0,0,HLOOKUP("Pts",A1:CV300,119,FALSE)/HLOOKUP("Apps",A1:CV300,119,FALSE)* 1)</f>
      </c>
      <c r="AW119" s="13933">
        <f>IF(HLOOKUP("Mins",A1:CV300,119,FALSE)=0,0,HLOOKUP("Gs",A1:CV300,119,FALSE)/HLOOKUP("Mins",A1:CV300,119,FALSE)* 90)</f>
      </c>
      <c r="AX119" s="13934">
        <f>IF(HLOOKUP("Mins",A1:CV300,119,FALSE)=0,0,HLOOKUP("Bonus",A1:CV300,119,FALSE)/HLOOKUP("Mins",A1:CV300,119,FALSE)* 90)</f>
      </c>
      <c r="AY119" s="13935">
        <f>IF(HLOOKUP("Mins",A1:CV300,119,FALSE)=0,0,HLOOKUP("BPS",A1:CV300,119,FALSE)/HLOOKUP("Mins",A1:CV300,119,FALSE)* 90)</f>
      </c>
      <c r="AZ119" s="13936">
        <f>IF(HLOOKUP("Mins",A1:CV300,119,FALSE)=0,0,HLOOKUP("Base BPS",A1:CV300,119,FALSE)/HLOOKUP("Mins",A1:CV300,119,FALSE)* 90)</f>
      </c>
      <c r="BA119" s="13937">
        <f>IF(HLOOKUP("Mins",A1:CV300,119,FALSE)=0,0,HLOOKUP("PenTchs",A1:CV300,119,FALSE)/HLOOKUP("Mins",A1:CV300,119,FALSE)* 90)</f>
      </c>
      <c r="BB119" s="13938">
        <f>IF(HLOOKUP("Mins",A1:CV300,119,FALSE)=0,0,HLOOKUP("Shots",A1:CV300,119,FALSE)/HLOOKUP("Mins",A1:CV300,119,FALSE)* 90)</f>
      </c>
      <c r="BC119" s="13939">
        <f>IF(HLOOKUP("Mins",A1:CV300,119,FALSE)=0,0,HLOOKUP("SIB",A1:CV300,119,FALSE)/HLOOKUP("Mins",A1:CV300,119,FALSE)* 90)</f>
      </c>
      <c r="BD119" s="13940">
        <f>IF(HLOOKUP("Mins",A1:CV300,119,FALSE)=0,0,HLOOKUP("S6YD",A1:CV300,119,FALSE)/HLOOKUP("Mins",A1:CV300,119,FALSE)* 90)</f>
      </c>
      <c r="BE119" s="13941">
        <f>IF(HLOOKUP("Mins",A1:CV300,119,FALSE)=0,0,HLOOKUP("Headers",A1:CV300,119,FALSE)/HLOOKUP("Mins",A1:CV300,119,FALSE)* 90)</f>
      </c>
      <c r="BF119" s="13942">
        <f>IF(HLOOKUP("Mins",A1:CV300,119,FALSE)=0,0,HLOOKUP("SOT",A1:CV300,119,FALSE)/HLOOKUP("Mins",A1:CV300,119,FALSE)* 90)</f>
      </c>
      <c r="BG119" s="13943">
        <f>IF(HLOOKUP("Mins",A1:CV300,119,FALSE)=0,0,HLOOKUP("As",A1:CV300,119,FALSE)/HLOOKUP("Mins",A1:CV300,119,FALSE)* 90)</f>
      </c>
      <c r="BH119" s="13944">
        <f>IF(HLOOKUP("Mins",A1:CV300,119,FALSE)=0,0,HLOOKUP("FPL As",A1:CV300,119,FALSE)/HLOOKUP("Mins",A1:CV300,119,FALSE)* 90)</f>
      </c>
      <c r="BI119" s="13945">
        <f>IF(HLOOKUP("Mins",A1:CV300,119,FALSE)=0,0,HLOOKUP("BC Created",A1:CV300,119,FALSE)/HLOOKUP("Mins",A1:CV300,119,FALSE)* 90)</f>
      </c>
      <c r="BJ119" s="13946">
        <f>IF(HLOOKUP("Mins",A1:CV300,119,FALSE)=0,0,HLOOKUP("KP",A1:CV300,119,FALSE)/HLOOKUP("Mins",A1:CV300,119,FALSE)* 90)</f>
      </c>
      <c r="BK119" s="13947">
        <f>IF(HLOOKUP("Mins",A1:CV300,119,FALSE)=0,0,HLOOKUP("BC",A1:CV300,119,FALSE)/HLOOKUP("Mins",A1:CV300,119,FALSE)* 90)</f>
      </c>
      <c r="BL119" s="13948">
        <f>IF(HLOOKUP("Mins",A1:CV300,119,FALSE)=0,0,HLOOKUP("BC Miss",A1:CV300,119,FALSE)/HLOOKUP("Mins",A1:CV300,119,FALSE)* 90)</f>
      </c>
      <c r="BM119" s="13949">
        <f>IF(HLOOKUP("Mins",A1:CV300,119,FALSE)=0,0,HLOOKUP("Gs - BC",A1:CV300,119,FALSE)/HLOOKUP("Mins",A1:CV300,119,FALSE)* 90)</f>
      </c>
      <c r="BN119" s="13950">
        <f>IF(HLOOKUP("Mins",A1:CV300,119,FALSE)=0,0,HLOOKUP("GIB",A1:CV300,119,FALSE)/HLOOKUP("Mins",A1:CV300,119,FALSE)* 90)</f>
      </c>
      <c r="BO119" s="13951">
        <f>IF(HLOOKUP("Mins",A1:CV300,119,FALSE)=0,0,HLOOKUP("Gs - Open",A1:CV300,119,FALSE)/HLOOKUP("Mins",A1:CV300,119,FALSE)* 90)</f>
      </c>
      <c r="BP119" s="13952">
        <f>IF(HLOOKUP("Mins",A1:CV300,119,FALSE)=0,0,HLOOKUP("ICT Index",A1:CV300,119,FALSE)/HLOOKUP("Mins",A1:CV300,119,FALSE)* 90)</f>
      </c>
      <c r="BQ119" s="13953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3954">
        <f>0.0825*HLOOKUP("KP/90",A1:CV300,119,FALSE)</f>
      </c>
      <c r="BS119" s="13955">
        <f>6*HLOOKUP("xG/90",A1:CV300,119,FALSE)+3*HLOOKUP("xA/90",A1:CV300,119,FALSE)</f>
      </c>
      <c r="BT119" s="13956">
        <f>HLOOKUP("xPts/90",A1:CV300,119,FALSE)-(6*0.75*(HLOOKUP("PK Gs",A1:CV300,119,FALSE)+HLOOKUP("PK Miss",A1:CV300,119,FALSE))*90/HLOOKUP("Mins",A1:CV300,119,FALSE))</f>
      </c>
      <c r="BU119" s="13957">
        <f>IF(HLOOKUP("Mins",A1:CV300,119,FALSE)=0,0,HLOOKUP("fsXG",A1:CV300,119,FALSE)/HLOOKUP("Mins",A1:CV300,119,FALSE)* 90)</f>
      </c>
      <c r="BV119" s="13958">
        <f>IF(HLOOKUP("Mins",A1:CV300,119,FALSE)=0,0,HLOOKUP("fsXA",A1:CV300,119,FALSE)/HLOOKUP("Mins",A1:CV300,119,FALSE)* 90)</f>
      </c>
      <c r="BW119" s="13959">
        <f>6*HLOOKUP("fsXG/90",A1:CV300,119,FALSE)+3*HLOOKUP("fsXA/90",A1:CV300,119,FALSE)</f>
      </c>
      <c r="BX119" t="n" s="13960">
        <v>0.015292685478925705</v>
      </c>
      <c r="BY119" t="n" s="13961">
        <v>0.23933717608451843</v>
      </c>
      <c r="BZ119" s="13962">
        <f>6*HLOOKUP("uXG/90",A1:CV300,119,FALSE)+3*HLOOKUP("uXA/90",A1:CV300,119,FALSE)</f>
      </c>
    </row>
    <row r="120">
      <c r="A120" t="s" s="13963">
        <v>276</v>
      </c>
      <c r="B120" t="s" s="13964">
        <v>105</v>
      </c>
      <c r="C120" t="n" s="13965">
        <v>5.199999809265137</v>
      </c>
      <c r="D120" t="n" s="13966">
        <v>95.0</v>
      </c>
      <c r="E120" t="n" s="13967">
        <v>2.0</v>
      </c>
      <c r="F120" t="n" s="13968">
        <v>26.0</v>
      </c>
      <c r="G120" t="n" s="13969">
        <v>0.0</v>
      </c>
      <c r="H120" t="n" s="13970">
        <v>1.0</v>
      </c>
      <c r="I120" t="n" s="13971">
        <v>159.0</v>
      </c>
      <c r="J120" s="13972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3973">
        <v>0.0</v>
      </c>
      <c r="L120" t="n" s="13974">
        <v>3.0</v>
      </c>
      <c r="M120" t="n" s="13975">
        <v>1.0</v>
      </c>
      <c r="N120" t="n" s="13976">
        <v>2.0</v>
      </c>
      <c r="O120" t="n" s="13977">
        <v>1.0</v>
      </c>
      <c r="P120" s="13978">
        <f>IF(HLOOKUP("Shots",A1:CV300,120,FALSE)=0,0,HLOOKUP("SIB",A1:CV300,120,FALSE)/HLOOKUP("Shots",A1:CV300,120,FALSE))</f>
      </c>
      <c r="Q120" t="n" s="13979">
        <v>0.0</v>
      </c>
      <c r="R120" s="13980">
        <f>IF(HLOOKUP("Shots",A1:CV300,120,FALSE)=0,0,HLOOKUP("S6YD",A1:CV300,120,FALSE)/HLOOKUP("Shots",A1:CV300,120,FALSE))</f>
      </c>
      <c r="S120" t="n" s="13981">
        <v>0.0</v>
      </c>
      <c r="T120" s="13982">
        <f>IF(HLOOKUP("Shots",A1:CV300,120,FALSE)=0,0,HLOOKUP("Headers",A1:CV300,120,FALSE)/HLOOKUP("Shots",A1:CV300,120,FALSE))</f>
      </c>
      <c r="U120" t="n" s="13983">
        <v>0.0</v>
      </c>
      <c r="V120" s="13984">
        <f>IF(HLOOKUP("Shots",A1:CV300,120,FALSE)=0,0,HLOOKUP("SOT",A1:CV300,120,FALSE)/HLOOKUP("Shots",A1:CV300,120,FALSE))</f>
      </c>
      <c r="W120" s="13985">
        <f>IF(HLOOKUP("Shots",A1:CV300,120,FALSE)=0,0,HLOOKUP("Gs",A1:CV300,120,FALSE)/HLOOKUP("Shots",A1:CV300,120,FALSE))</f>
      </c>
      <c r="X120" t="n" s="13986">
        <v>0.0</v>
      </c>
      <c r="Y120" t="n" s="13987">
        <v>0.0</v>
      </c>
      <c r="Z120" t="n" s="13988">
        <v>2.0</v>
      </c>
      <c r="AA120" s="13989">
        <f>IF(HLOOKUP("KP",A1:CV300,120,FALSE)=0,0,HLOOKUP("As",A1:CV300,120,FALSE)/HLOOKUP("KP",A1:CV300,120,FALSE))</f>
      </c>
      <c r="AB120" t="n" s="13990">
        <v>6.5</v>
      </c>
      <c r="AC120" t="n" s="13991">
        <v>0.0</v>
      </c>
      <c r="AD120" t="n" s="13992">
        <v>0.0</v>
      </c>
      <c r="AE120" t="n" s="13993">
        <v>0.0</v>
      </c>
      <c r="AF120" t="n" s="13994">
        <v>0.0</v>
      </c>
      <c r="AG120" s="13995">
        <f>IF(HLOOKUP("BC",A1:CV300,120,FALSE)=0,0,HLOOKUP("Gs - BC",A1:CV300,120,FALSE)/HLOOKUP("BC",A1:CV300,120,FALSE))</f>
      </c>
      <c r="AH120" s="13996">
        <f>HLOOKUP("BC",A1:CV300,120,FALSE) - HLOOKUP("BC Miss",A1:CV300,120,FALSE)</f>
      </c>
      <c r="AI120" s="13997">
        <f>IF(HLOOKUP("Gs",A1:CV300,120,FALSE)=0,0,HLOOKUP("Gs - BC",A1:CV300,120,FALSE)/HLOOKUP("Gs",A1:CV300,120,FALSE))</f>
      </c>
      <c r="AJ120" t="n" s="13998">
        <v>0.0</v>
      </c>
      <c r="AK120" t="n" s="13999">
        <v>0.0</v>
      </c>
      <c r="AL120" s="14000">
        <f>HLOOKUP("BC",A1:CV300,120,FALSE) - (HLOOKUP("PK Gs",A1:CV300,120,FALSE) + HLOOKUP("PK Miss",A1:CV300,120,FALSE))</f>
      </c>
      <c r="AM120" s="14001">
        <f>HLOOKUP("BC Miss",A1:CV300,120,FALSE) - HLOOKUP("PK Miss",A1:CV300,120,FALSE)</f>
      </c>
      <c r="AN120" s="14002">
        <f>IF(HLOOKUP("BC - Open",A1:CV300,120,FALSE)=0,0,HLOOKUP("BC - Open Miss",A1:CV300,120,FALSE)/HLOOKUP("BC - Open",A1:CV300,120,FALSE))</f>
      </c>
      <c r="AO120" t="n" s="14003">
        <v>0.0</v>
      </c>
      <c r="AP120" s="14004">
        <f>IF(HLOOKUP("Gs",A1:CV300,120,FALSE)=0,0,HLOOKUP("GIB",A1:CV300,120,FALSE)/HLOOKUP("Gs",A1:CV300,120,FALSE))</f>
      </c>
      <c r="AQ120" t="n" s="14005">
        <v>0.0</v>
      </c>
      <c r="AR120" s="14006">
        <f>IF(HLOOKUP("Gs",A1:CV300,120,FALSE)=0,0,HLOOKUP("Gs - Open",A1:CV300,120,FALSE)/HLOOKUP("Gs",A1:CV300,120,FALSE))</f>
      </c>
      <c r="AS120" t="n" s="14007">
        <v>0.07</v>
      </c>
      <c r="AT120" t="n" s="14008">
        <v>0.12</v>
      </c>
      <c r="AU120" s="14009">
        <f>IF(HLOOKUP("Mins",A1:CV300,120,FALSE)=0,0,HLOOKUP("Pts",A1:CV300,120,FALSE)/HLOOKUP("Mins",A1:CV300,120,FALSE)* 90)</f>
      </c>
      <c r="AV120" s="14010">
        <f>IF(HLOOKUP("Apps",A1:CV300,120,FALSE)=0,0,HLOOKUP("Pts",A1:CV300,120,FALSE)/HLOOKUP("Apps",A1:CV300,120,FALSE)* 1)</f>
      </c>
      <c r="AW120" s="14011">
        <f>IF(HLOOKUP("Mins",A1:CV300,120,FALSE)=0,0,HLOOKUP("Gs",A1:CV300,120,FALSE)/HLOOKUP("Mins",A1:CV300,120,FALSE)* 90)</f>
      </c>
      <c r="AX120" s="14012">
        <f>IF(HLOOKUP("Mins",A1:CV300,120,FALSE)=0,0,HLOOKUP("Bonus",A1:CV300,120,FALSE)/HLOOKUP("Mins",A1:CV300,120,FALSE)* 90)</f>
      </c>
      <c r="AY120" s="14013">
        <f>IF(HLOOKUP("Mins",A1:CV300,120,FALSE)=0,0,HLOOKUP("BPS",A1:CV300,120,FALSE)/HLOOKUP("Mins",A1:CV300,120,FALSE)* 90)</f>
      </c>
      <c r="AZ120" s="14014">
        <f>IF(HLOOKUP("Mins",A1:CV300,120,FALSE)=0,0,HLOOKUP("Base BPS",A1:CV300,120,FALSE)/HLOOKUP("Mins",A1:CV300,120,FALSE)* 90)</f>
      </c>
      <c r="BA120" s="14015">
        <f>IF(HLOOKUP("Mins",A1:CV300,120,FALSE)=0,0,HLOOKUP("PenTchs",A1:CV300,120,FALSE)/HLOOKUP("Mins",A1:CV300,120,FALSE)* 90)</f>
      </c>
      <c r="BB120" s="14016">
        <f>IF(HLOOKUP("Mins",A1:CV300,120,FALSE)=0,0,HLOOKUP("Shots",A1:CV300,120,FALSE)/HLOOKUP("Mins",A1:CV300,120,FALSE)* 90)</f>
      </c>
      <c r="BC120" s="14017">
        <f>IF(HLOOKUP("Mins",A1:CV300,120,FALSE)=0,0,HLOOKUP("SIB",A1:CV300,120,FALSE)/HLOOKUP("Mins",A1:CV300,120,FALSE)* 90)</f>
      </c>
      <c r="BD120" s="14018">
        <f>IF(HLOOKUP("Mins",A1:CV300,120,FALSE)=0,0,HLOOKUP("S6YD",A1:CV300,120,FALSE)/HLOOKUP("Mins",A1:CV300,120,FALSE)* 90)</f>
      </c>
      <c r="BE120" s="14019">
        <f>IF(HLOOKUP("Mins",A1:CV300,120,FALSE)=0,0,HLOOKUP("Headers",A1:CV300,120,FALSE)/HLOOKUP("Mins",A1:CV300,120,FALSE)* 90)</f>
      </c>
      <c r="BF120" s="14020">
        <f>IF(HLOOKUP("Mins",A1:CV300,120,FALSE)=0,0,HLOOKUP("SOT",A1:CV300,120,FALSE)/HLOOKUP("Mins",A1:CV300,120,FALSE)* 90)</f>
      </c>
      <c r="BG120" s="14021">
        <f>IF(HLOOKUP("Mins",A1:CV300,120,FALSE)=0,0,HLOOKUP("As",A1:CV300,120,FALSE)/HLOOKUP("Mins",A1:CV300,120,FALSE)* 90)</f>
      </c>
      <c r="BH120" s="14022">
        <f>IF(HLOOKUP("Mins",A1:CV300,120,FALSE)=0,0,HLOOKUP("FPL As",A1:CV300,120,FALSE)/HLOOKUP("Mins",A1:CV300,120,FALSE)* 90)</f>
      </c>
      <c r="BI120" s="14023">
        <f>IF(HLOOKUP("Mins",A1:CV300,120,FALSE)=0,0,HLOOKUP("BC Created",A1:CV300,120,FALSE)/HLOOKUP("Mins",A1:CV300,120,FALSE)* 90)</f>
      </c>
      <c r="BJ120" s="14024">
        <f>IF(HLOOKUP("Mins",A1:CV300,120,FALSE)=0,0,HLOOKUP("KP",A1:CV300,120,FALSE)/HLOOKUP("Mins",A1:CV300,120,FALSE)* 90)</f>
      </c>
      <c r="BK120" s="14025">
        <f>IF(HLOOKUP("Mins",A1:CV300,120,FALSE)=0,0,HLOOKUP("BC",A1:CV300,120,FALSE)/HLOOKUP("Mins",A1:CV300,120,FALSE)* 90)</f>
      </c>
      <c r="BL120" s="14026">
        <f>IF(HLOOKUP("Mins",A1:CV300,120,FALSE)=0,0,HLOOKUP("BC Miss",A1:CV300,120,FALSE)/HLOOKUP("Mins",A1:CV300,120,FALSE)* 90)</f>
      </c>
      <c r="BM120" s="14027">
        <f>IF(HLOOKUP("Mins",A1:CV300,120,FALSE)=0,0,HLOOKUP("Gs - BC",A1:CV300,120,FALSE)/HLOOKUP("Mins",A1:CV300,120,FALSE)* 90)</f>
      </c>
      <c r="BN120" s="14028">
        <f>IF(HLOOKUP("Mins",A1:CV300,120,FALSE)=0,0,HLOOKUP("GIB",A1:CV300,120,FALSE)/HLOOKUP("Mins",A1:CV300,120,FALSE)* 90)</f>
      </c>
      <c r="BO120" s="14029">
        <f>IF(HLOOKUP("Mins",A1:CV300,120,FALSE)=0,0,HLOOKUP("Gs - Open",A1:CV300,120,FALSE)/HLOOKUP("Mins",A1:CV300,120,FALSE)* 90)</f>
      </c>
      <c r="BP120" s="14030">
        <f>IF(HLOOKUP("Mins",A1:CV300,120,FALSE)=0,0,HLOOKUP("ICT Index",A1:CV300,120,FALSE)/HLOOKUP("Mins",A1:CV300,120,FALSE)* 90)</f>
      </c>
      <c r="BQ120" s="14031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4032">
        <f>0.0825*HLOOKUP("KP/90",A1:CV300,120,FALSE)</f>
      </c>
      <c r="BS120" s="14033">
        <f>6*HLOOKUP("xG/90",A1:CV300,120,FALSE)+3*HLOOKUP("xA/90",A1:CV300,120,FALSE)</f>
      </c>
      <c r="BT120" s="14034">
        <f>HLOOKUP("xPts/90",A1:CV300,120,FALSE)-(6*0.75*(HLOOKUP("PK Gs",A1:CV300,120,FALSE)+HLOOKUP("PK Miss",A1:CV300,120,FALSE))*90/HLOOKUP("Mins",A1:CV300,120,FALSE))</f>
      </c>
      <c r="BU120" s="14035">
        <f>IF(HLOOKUP("Mins",A1:CV300,120,FALSE)=0,0,HLOOKUP("fsXG",A1:CV300,120,FALSE)/HLOOKUP("Mins",A1:CV300,120,FALSE)* 90)</f>
      </c>
      <c r="BV120" s="14036">
        <f>IF(HLOOKUP("Mins",A1:CV300,120,FALSE)=0,0,HLOOKUP("fsXA",A1:CV300,120,FALSE)/HLOOKUP("Mins",A1:CV300,120,FALSE)* 90)</f>
      </c>
      <c r="BW120" s="14037">
        <f>6*HLOOKUP("fsXG/90",A1:CV300,120,FALSE)+3*HLOOKUP("fsXA/90",A1:CV300,120,FALSE)</f>
      </c>
      <c r="BX120" t="n" s="14038">
        <v>0.06186066195368767</v>
      </c>
      <c r="BY120" t="n" s="14039">
        <v>0.04326058551669121</v>
      </c>
      <c r="BZ120" s="14040">
        <f>6*HLOOKUP("uXG/90",A1:CV300,120,FALSE)+3*HLOOKUP("uXA/90",A1:CV300,120,FALSE)</f>
      </c>
    </row>
    <row r="121">
      <c r="A121" t="s" s="14041">
        <v>277</v>
      </c>
      <c r="B121" t="s" s="14042">
        <v>147</v>
      </c>
      <c r="C121" t="n" s="14043">
        <v>4.599999904632568</v>
      </c>
      <c r="D121" t="n" s="14044">
        <v>239.0</v>
      </c>
      <c r="E121" t="n" s="14045">
        <v>3.0</v>
      </c>
      <c r="F121" t="n" s="14046">
        <v>47.0</v>
      </c>
      <c r="G121" t="n" s="14047">
        <v>0.0</v>
      </c>
      <c r="H121" t="n" s="14048">
        <v>7.0</v>
      </c>
      <c r="I121" t="n" s="14049">
        <v>255.0</v>
      </c>
      <c r="J121" s="14050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4051">
        <v>0.0</v>
      </c>
      <c r="L121" t="n" s="14052">
        <v>4.0</v>
      </c>
      <c r="M121" t="n" s="14053">
        <v>2.0</v>
      </c>
      <c r="N121" t="n" s="14054">
        <v>2.0</v>
      </c>
      <c r="O121" t="n" s="14055">
        <v>2.0</v>
      </c>
      <c r="P121" s="14056">
        <f>IF(HLOOKUP("Shots",A1:CV300,121,FALSE)=0,0,HLOOKUP("SIB",A1:CV300,121,FALSE)/HLOOKUP("Shots",A1:CV300,121,FALSE))</f>
      </c>
      <c r="Q121" t="n" s="14057">
        <v>0.0</v>
      </c>
      <c r="R121" s="14058">
        <f>IF(HLOOKUP("Shots",A1:CV300,121,FALSE)=0,0,HLOOKUP("S6YD",A1:CV300,121,FALSE)/HLOOKUP("Shots",A1:CV300,121,FALSE))</f>
      </c>
      <c r="S121" t="n" s="14059">
        <v>1.0</v>
      </c>
      <c r="T121" s="14060">
        <f>IF(HLOOKUP("Shots",A1:CV300,121,FALSE)=0,0,HLOOKUP("Headers",A1:CV300,121,FALSE)/HLOOKUP("Shots",A1:CV300,121,FALSE))</f>
      </c>
      <c r="U121" t="n" s="14061">
        <v>1.0</v>
      </c>
      <c r="V121" s="14062">
        <f>IF(HLOOKUP("Shots",A1:CV300,121,FALSE)=0,0,HLOOKUP("SOT",A1:CV300,121,FALSE)/HLOOKUP("Shots",A1:CV300,121,FALSE))</f>
      </c>
      <c r="W121" s="14063">
        <f>IF(HLOOKUP("Shots",A1:CV300,121,FALSE)=0,0,HLOOKUP("Gs",A1:CV300,121,FALSE)/HLOOKUP("Shots",A1:CV300,121,FALSE))</f>
      </c>
      <c r="X121" t="n" s="14064">
        <v>0.0</v>
      </c>
      <c r="Y121" t="n" s="14065">
        <v>0.0</v>
      </c>
      <c r="Z121" t="n" s="14066">
        <v>0.0</v>
      </c>
      <c r="AA121" s="14067">
        <f>IF(HLOOKUP("KP",A1:CV300,121,FALSE)=0,0,HLOOKUP("As",A1:CV300,121,FALSE)/HLOOKUP("KP",A1:CV300,121,FALSE))</f>
      </c>
      <c r="AB121" t="n" s="14068">
        <v>7.7</v>
      </c>
      <c r="AC121" t="n" s="14069">
        <v>0.0</v>
      </c>
      <c r="AD121" t="n" s="14070">
        <v>0.0</v>
      </c>
      <c r="AE121" t="n" s="14071">
        <v>1.0</v>
      </c>
      <c r="AF121" t="n" s="14072">
        <v>1.0</v>
      </c>
      <c r="AG121" s="14073">
        <f>IF(HLOOKUP("BC",A1:CV300,121,FALSE)=0,0,HLOOKUP("Gs - BC",A1:CV300,121,FALSE)/HLOOKUP("BC",A1:CV300,121,FALSE))</f>
      </c>
      <c r="AH121" s="14074">
        <f>HLOOKUP("BC",A1:CV300,121,FALSE) - HLOOKUP("BC Miss",A1:CV300,121,FALSE)</f>
      </c>
      <c r="AI121" s="14075">
        <f>IF(HLOOKUP("Gs",A1:CV300,121,FALSE)=0,0,HLOOKUP("Gs - BC",A1:CV300,121,FALSE)/HLOOKUP("Gs",A1:CV300,121,FALSE))</f>
      </c>
      <c r="AJ121" t="n" s="14076">
        <v>0.0</v>
      </c>
      <c r="AK121" t="n" s="14077">
        <v>0.0</v>
      </c>
      <c r="AL121" s="14078">
        <f>HLOOKUP("BC",A1:CV300,121,FALSE) - (HLOOKUP("PK Gs",A1:CV300,121,FALSE) + HLOOKUP("PK Miss",A1:CV300,121,FALSE))</f>
      </c>
      <c r="AM121" s="14079">
        <f>HLOOKUP("BC Miss",A1:CV300,121,FALSE) - HLOOKUP("PK Miss",A1:CV300,121,FALSE)</f>
      </c>
      <c r="AN121" s="14080">
        <f>IF(HLOOKUP("BC - Open",A1:CV300,121,FALSE)=0,0,HLOOKUP("BC - Open Miss",A1:CV300,121,FALSE)/HLOOKUP("BC - Open",A1:CV300,121,FALSE))</f>
      </c>
      <c r="AO121" t="n" s="14081">
        <v>0.0</v>
      </c>
      <c r="AP121" s="14082">
        <f>IF(HLOOKUP("Gs",A1:CV300,121,FALSE)=0,0,HLOOKUP("GIB",A1:CV300,121,FALSE)/HLOOKUP("Gs",A1:CV300,121,FALSE))</f>
      </c>
      <c r="AQ121" t="n" s="14083">
        <v>0.0</v>
      </c>
      <c r="AR121" s="14084">
        <f>IF(HLOOKUP("Gs",A1:CV300,121,FALSE)=0,0,HLOOKUP("Gs - Open",A1:CV300,121,FALSE)/HLOOKUP("Gs",A1:CV300,121,FALSE))</f>
      </c>
      <c r="AS121" t="n" s="14085">
        <v>0.1</v>
      </c>
      <c r="AT121" t="n" s="14086">
        <v>0.06</v>
      </c>
      <c r="AU121" s="14087">
        <f>IF(HLOOKUP("Mins",A1:CV300,121,FALSE)=0,0,HLOOKUP("Pts",A1:CV300,121,FALSE)/HLOOKUP("Mins",A1:CV300,121,FALSE)* 90)</f>
      </c>
      <c r="AV121" s="14088">
        <f>IF(HLOOKUP("Apps",A1:CV300,121,FALSE)=0,0,HLOOKUP("Pts",A1:CV300,121,FALSE)/HLOOKUP("Apps",A1:CV300,121,FALSE)* 1)</f>
      </c>
      <c r="AW121" s="14089">
        <f>IF(HLOOKUP("Mins",A1:CV300,121,FALSE)=0,0,HLOOKUP("Gs",A1:CV300,121,FALSE)/HLOOKUP("Mins",A1:CV300,121,FALSE)* 90)</f>
      </c>
      <c r="AX121" s="14090">
        <f>IF(HLOOKUP("Mins",A1:CV300,121,FALSE)=0,0,HLOOKUP("Bonus",A1:CV300,121,FALSE)/HLOOKUP("Mins",A1:CV300,121,FALSE)* 90)</f>
      </c>
      <c r="AY121" s="14091">
        <f>IF(HLOOKUP("Mins",A1:CV300,121,FALSE)=0,0,HLOOKUP("BPS",A1:CV300,121,FALSE)/HLOOKUP("Mins",A1:CV300,121,FALSE)* 90)</f>
      </c>
      <c r="AZ121" s="14092">
        <f>IF(HLOOKUP("Mins",A1:CV300,121,FALSE)=0,0,HLOOKUP("Base BPS",A1:CV300,121,FALSE)/HLOOKUP("Mins",A1:CV300,121,FALSE)* 90)</f>
      </c>
      <c r="BA121" s="14093">
        <f>IF(HLOOKUP("Mins",A1:CV300,121,FALSE)=0,0,HLOOKUP("PenTchs",A1:CV300,121,FALSE)/HLOOKUP("Mins",A1:CV300,121,FALSE)* 90)</f>
      </c>
      <c r="BB121" s="14094">
        <f>IF(HLOOKUP("Mins",A1:CV300,121,FALSE)=0,0,HLOOKUP("Shots",A1:CV300,121,FALSE)/HLOOKUP("Mins",A1:CV300,121,FALSE)* 90)</f>
      </c>
      <c r="BC121" s="14095">
        <f>IF(HLOOKUP("Mins",A1:CV300,121,FALSE)=0,0,HLOOKUP("SIB",A1:CV300,121,FALSE)/HLOOKUP("Mins",A1:CV300,121,FALSE)* 90)</f>
      </c>
      <c r="BD121" s="14096">
        <f>IF(HLOOKUP("Mins",A1:CV300,121,FALSE)=0,0,HLOOKUP("S6YD",A1:CV300,121,FALSE)/HLOOKUP("Mins",A1:CV300,121,FALSE)* 90)</f>
      </c>
      <c r="BE121" s="14097">
        <f>IF(HLOOKUP("Mins",A1:CV300,121,FALSE)=0,0,HLOOKUP("Headers",A1:CV300,121,FALSE)/HLOOKUP("Mins",A1:CV300,121,FALSE)* 90)</f>
      </c>
      <c r="BF121" s="14098">
        <f>IF(HLOOKUP("Mins",A1:CV300,121,FALSE)=0,0,HLOOKUP("SOT",A1:CV300,121,FALSE)/HLOOKUP("Mins",A1:CV300,121,FALSE)* 90)</f>
      </c>
      <c r="BG121" s="14099">
        <f>IF(HLOOKUP("Mins",A1:CV300,121,FALSE)=0,0,HLOOKUP("As",A1:CV300,121,FALSE)/HLOOKUP("Mins",A1:CV300,121,FALSE)* 90)</f>
      </c>
      <c r="BH121" s="14100">
        <f>IF(HLOOKUP("Mins",A1:CV300,121,FALSE)=0,0,HLOOKUP("FPL As",A1:CV300,121,FALSE)/HLOOKUP("Mins",A1:CV300,121,FALSE)* 90)</f>
      </c>
      <c r="BI121" s="14101">
        <f>IF(HLOOKUP("Mins",A1:CV300,121,FALSE)=0,0,HLOOKUP("BC Created",A1:CV300,121,FALSE)/HLOOKUP("Mins",A1:CV300,121,FALSE)* 90)</f>
      </c>
      <c r="BJ121" s="14102">
        <f>IF(HLOOKUP("Mins",A1:CV300,121,FALSE)=0,0,HLOOKUP("KP",A1:CV300,121,FALSE)/HLOOKUP("Mins",A1:CV300,121,FALSE)* 90)</f>
      </c>
      <c r="BK121" s="14103">
        <f>IF(HLOOKUP("Mins",A1:CV300,121,FALSE)=0,0,HLOOKUP("BC",A1:CV300,121,FALSE)/HLOOKUP("Mins",A1:CV300,121,FALSE)* 90)</f>
      </c>
      <c r="BL121" s="14104">
        <f>IF(HLOOKUP("Mins",A1:CV300,121,FALSE)=0,0,HLOOKUP("BC Miss",A1:CV300,121,FALSE)/HLOOKUP("Mins",A1:CV300,121,FALSE)* 90)</f>
      </c>
      <c r="BM121" s="14105">
        <f>IF(HLOOKUP("Mins",A1:CV300,121,FALSE)=0,0,HLOOKUP("Gs - BC",A1:CV300,121,FALSE)/HLOOKUP("Mins",A1:CV300,121,FALSE)* 90)</f>
      </c>
      <c r="BN121" s="14106">
        <f>IF(HLOOKUP("Mins",A1:CV300,121,FALSE)=0,0,HLOOKUP("GIB",A1:CV300,121,FALSE)/HLOOKUP("Mins",A1:CV300,121,FALSE)* 90)</f>
      </c>
      <c r="BO121" s="14107">
        <f>IF(HLOOKUP("Mins",A1:CV300,121,FALSE)=0,0,HLOOKUP("Gs - Open",A1:CV300,121,FALSE)/HLOOKUP("Mins",A1:CV300,121,FALSE)* 90)</f>
      </c>
      <c r="BP121" s="14108">
        <f>IF(HLOOKUP("Mins",A1:CV300,121,FALSE)=0,0,HLOOKUP("ICT Index",A1:CV300,121,FALSE)/HLOOKUP("Mins",A1:CV300,121,FALSE)* 90)</f>
      </c>
      <c r="BQ121" s="14109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4110">
        <f>0.0825*HLOOKUP("KP/90",A1:CV300,121,FALSE)</f>
      </c>
      <c r="BS121" s="14111">
        <f>6*HLOOKUP("xG/90",A1:CV300,121,FALSE)+3*HLOOKUP("xA/90",A1:CV300,121,FALSE)</f>
      </c>
      <c r="BT121" s="14112">
        <f>HLOOKUP("xPts/90",A1:CV300,121,FALSE)-(6*0.75*(HLOOKUP("PK Gs",A1:CV300,121,FALSE)+HLOOKUP("PK Miss",A1:CV300,121,FALSE))*90/HLOOKUP("Mins",A1:CV300,121,FALSE))</f>
      </c>
      <c r="BU121" s="14113">
        <f>IF(HLOOKUP("Mins",A1:CV300,121,FALSE)=0,0,HLOOKUP("fsXG",A1:CV300,121,FALSE)/HLOOKUP("Mins",A1:CV300,121,FALSE)* 90)</f>
      </c>
      <c r="BV121" s="14114">
        <f>IF(HLOOKUP("Mins",A1:CV300,121,FALSE)=0,0,HLOOKUP("fsXA",A1:CV300,121,FALSE)/HLOOKUP("Mins",A1:CV300,121,FALSE)* 90)</f>
      </c>
      <c r="BW121" s="14115">
        <f>6*HLOOKUP("fsXG/90",A1:CV300,121,FALSE)+3*HLOOKUP("fsXA/90",A1:CV300,121,FALSE)</f>
      </c>
      <c r="BX121" t="n" s="14116">
        <v>0.08545900136232376</v>
      </c>
      <c r="BY121" t="n" s="14117">
        <v>0.0</v>
      </c>
      <c r="BZ121" s="14118">
        <f>6*HLOOKUP("uXG/90",A1:CV300,121,FALSE)+3*HLOOKUP("uXA/90",A1:CV300,121,FALSE)</f>
      </c>
    </row>
    <row r="122">
      <c r="A122" t="s" s="14119">
        <v>278</v>
      </c>
      <c r="B122" t="s" s="14120">
        <v>105</v>
      </c>
      <c r="C122" t="n" s="14121">
        <v>5.300000190734863</v>
      </c>
      <c r="D122" t="n" s="14122">
        <v>90.0</v>
      </c>
      <c r="E122" t="n" s="14123">
        <v>1.0</v>
      </c>
      <c r="F122" t="n" s="14124">
        <v>22.0</v>
      </c>
      <c r="G122" t="n" s="14125">
        <v>0.0</v>
      </c>
      <c r="H122" t="n" s="14126">
        <v>0.0</v>
      </c>
      <c r="I122" t="n" s="14127">
        <v>158.0</v>
      </c>
      <c r="J122" s="14128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4129">
        <v>0.0</v>
      </c>
      <c r="L122" t="n" s="14130">
        <v>2.0</v>
      </c>
      <c r="M122" t="n" s="14131">
        <v>0.0</v>
      </c>
      <c r="N122" t="n" s="14132">
        <v>0.0</v>
      </c>
      <c r="O122" t="n" s="14133">
        <v>0.0</v>
      </c>
      <c r="P122" s="14134">
        <f>IF(HLOOKUP("Shots",A1:CV300,122,FALSE)=0,0,HLOOKUP("SIB",A1:CV300,122,FALSE)/HLOOKUP("Shots",A1:CV300,122,FALSE))</f>
      </c>
      <c r="Q122" t="n" s="14135">
        <v>0.0</v>
      </c>
      <c r="R122" s="14136">
        <f>IF(HLOOKUP("Shots",A1:CV300,122,FALSE)=0,0,HLOOKUP("S6YD",A1:CV300,122,FALSE)/HLOOKUP("Shots",A1:CV300,122,FALSE))</f>
      </c>
      <c r="S122" t="n" s="14137">
        <v>0.0</v>
      </c>
      <c r="T122" s="14138">
        <f>IF(HLOOKUP("Shots",A1:CV300,122,FALSE)=0,0,HLOOKUP("Headers",A1:CV300,122,FALSE)/HLOOKUP("Shots",A1:CV300,122,FALSE))</f>
      </c>
      <c r="U122" t="n" s="14139">
        <v>0.0</v>
      </c>
      <c r="V122" s="14140">
        <f>IF(HLOOKUP("Shots",A1:CV300,122,FALSE)=0,0,HLOOKUP("SOT",A1:CV300,122,FALSE)/HLOOKUP("Shots",A1:CV300,122,FALSE))</f>
      </c>
      <c r="W122" s="14141">
        <f>IF(HLOOKUP("Shots",A1:CV300,122,FALSE)=0,0,HLOOKUP("Gs",A1:CV300,122,FALSE)/HLOOKUP("Shots",A1:CV300,122,FALSE))</f>
      </c>
      <c r="X122" t="n" s="14142">
        <v>0.0</v>
      </c>
      <c r="Y122" t="n" s="14143">
        <v>0.0</v>
      </c>
      <c r="Z122" t="n" s="14144">
        <v>0.0</v>
      </c>
      <c r="AA122" s="14145">
        <f>IF(HLOOKUP("KP",A1:CV300,122,FALSE)=0,0,HLOOKUP("As",A1:CV300,122,FALSE)/HLOOKUP("KP",A1:CV300,122,FALSE))</f>
      </c>
      <c r="AB122" t="n" s="14146">
        <v>1.7</v>
      </c>
      <c r="AC122" t="n" s="14147">
        <v>0.0</v>
      </c>
      <c r="AD122" t="n" s="14148">
        <v>0.0</v>
      </c>
      <c r="AE122" t="n" s="14149">
        <v>0.0</v>
      </c>
      <c r="AF122" t="n" s="14150">
        <v>0.0</v>
      </c>
      <c r="AG122" s="14151">
        <f>IF(HLOOKUP("BC",A1:CV300,122,FALSE)=0,0,HLOOKUP("Gs - BC",A1:CV300,122,FALSE)/HLOOKUP("BC",A1:CV300,122,FALSE))</f>
      </c>
      <c r="AH122" s="14152">
        <f>HLOOKUP("BC",A1:CV300,122,FALSE) - HLOOKUP("BC Miss",A1:CV300,122,FALSE)</f>
      </c>
      <c r="AI122" s="14153">
        <f>IF(HLOOKUP("Gs",A1:CV300,122,FALSE)=0,0,HLOOKUP("Gs - BC",A1:CV300,122,FALSE)/HLOOKUP("Gs",A1:CV300,122,FALSE))</f>
      </c>
      <c r="AJ122" t="n" s="14154">
        <v>0.0</v>
      </c>
      <c r="AK122" t="n" s="14155">
        <v>0.0</v>
      </c>
      <c r="AL122" s="14156">
        <f>HLOOKUP("BC",A1:CV300,122,FALSE) - (HLOOKUP("PK Gs",A1:CV300,122,FALSE) + HLOOKUP("PK Miss",A1:CV300,122,FALSE))</f>
      </c>
      <c r="AM122" s="14157">
        <f>HLOOKUP("BC Miss",A1:CV300,122,FALSE) - HLOOKUP("PK Miss",A1:CV300,122,FALSE)</f>
      </c>
      <c r="AN122" s="14158">
        <f>IF(HLOOKUP("BC - Open",A1:CV300,122,FALSE)=0,0,HLOOKUP("BC - Open Miss",A1:CV300,122,FALSE)/HLOOKUP("BC - Open",A1:CV300,122,FALSE))</f>
      </c>
      <c r="AO122" t="n" s="14159">
        <v>0.0</v>
      </c>
      <c r="AP122" s="14160">
        <f>IF(HLOOKUP("Gs",A1:CV300,122,FALSE)=0,0,HLOOKUP("GIB",A1:CV300,122,FALSE)/HLOOKUP("Gs",A1:CV300,122,FALSE))</f>
      </c>
      <c r="AQ122" t="n" s="14161">
        <v>0.0</v>
      </c>
      <c r="AR122" s="14162">
        <f>IF(HLOOKUP("Gs",A1:CV300,122,FALSE)=0,0,HLOOKUP("Gs - Open",A1:CV300,122,FALSE)/HLOOKUP("Gs",A1:CV300,122,FALSE))</f>
      </c>
      <c r="AS122" t="n" s="14163">
        <v>0.0</v>
      </c>
      <c r="AT122" t="n" s="14164">
        <v>0.02</v>
      </c>
      <c r="AU122" s="14165">
        <f>IF(HLOOKUP("Mins",A1:CV300,122,FALSE)=0,0,HLOOKUP("Pts",A1:CV300,122,FALSE)/HLOOKUP("Mins",A1:CV300,122,FALSE)* 90)</f>
      </c>
      <c r="AV122" s="14166">
        <f>IF(HLOOKUP("Apps",A1:CV300,122,FALSE)=0,0,HLOOKUP("Pts",A1:CV300,122,FALSE)/HLOOKUP("Apps",A1:CV300,122,FALSE)* 1)</f>
      </c>
      <c r="AW122" s="14167">
        <f>IF(HLOOKUP("Mins",A1:CV300,122,FALSE)=0,0,HLOOKUP("Gs",A1:CV300,122,FALSE)/HLOOKUP("Mins",A1:CV300,122,FALSE)* 90)</f>
      </c>
      <c r="AX122" s="14168">
        <f>IF(HLOOKUP("Mins",A1:CV300,122,FALSE)=0,0,HLOOKUP("Bonus",A1:CV300,122,FALSE)/HLOOKUP("Mins",A1:CV300,122,FALSE)* 90)</f>
      </c>
      <c r="AY122" s="14169">
        <f>IF(HLOOKUP("Mins",A1:CV300,122,FALSE)=0,0,HLOOKUP("BPS",A1:CV300,122,FALSE)/HLOOKUP("Mins",A1:CV300,122,FALSE)* 90)</f>
      </c>
      <c r="AZ122" s="14170">
        <f>IF(HLOOKUP("Mins",A1:CV300,122,FALSE)=0,0,HLOOKUP("Base BPS",A1:CV300,122,FALSE)/HLOOKUP("Mins",A1:CV300,122,FALSE)* 90)</f>
      </c>
      <c r="BA122" s="14171">
        <f>IF(HLOOKUP("Mins",A1:CV300,122,FALSE)=0,0,HLOOKUP("PenTchs",A1:CV300,122,FALSE)/HLOOKUP("Mins",A1:CV300,122,FALSE)* 90)</f>
      </c>
      <c r="BB122" s="14172">
        <f>IF(HLOOKUP("Mins",A1:CV300,122,FALSE)=0,0,HLOOKUP("Shots",A1:CV300,122,FALSE)/HLOOKUP("Mins",A1:CV300,122,FALSE)* 90)</f>
      </c>
      <c r="BC122" s="14173">
        <f>IF(HLOOKUP("Mins",A1:CV300,122,FALSE)=0,0,HLOOKUP("SIB",A1:CV300,122,FALSE)/HLOOKUP("Mins",A1:CV300,122,FALSE)* 90)</f>
      </c>
      <c r="BD122" s="14174">
        <f>IF(HLOOKUP("Mins",A1:CV300,122,FALSE)=0,0,HLOOKUP("S6YD",A1:CV300,122,FALSE)/HLOOKUP("Mins",A1:CV300,122,FALSE)* 90)</f>
      </c>
      <c r="BE122" s="14175">
        <f>IF(HLOOKUP("Mins",A1:CV300,122,FALSE)=0,0,HLOOKUP("Headers",A1:CV300,122,FALSE)/HLOOKUP("Mins",A1:CV300,122,FALSE)* 90)</f>
      </c>
      <c r="BF122" s="14176">
        <f>IF(HLOOKUP("Mins",A1:CV300,122,FALSE)=0,0,HLOOKUP("SOT",A1:CV300,122,FALSE)/HLOOKUP("Mins",A1:CV300,122,FALSE)* 90)</f>
      </c>
      <c r="BG122" s="14177">
        <f>IF(HLOOKUP("Mins",A1:CV300,122,FALSE)=0,0,HLOOKUP("As",A1:CV300,122,FALSE)/HLOOKUP("Mins",A1:CV300,122,FALSE)* 90)</f>
      </c>
      <c r="BH122" s="14178">
        <f>IF(HLOOKUP("Mins",A1:CV300,122,FALSE)=0,0,HLOOKUP("FPL As",A1:CV300,122,FALSE)/HLOOKUP("Mins",A1:CV300,122,FALSE)* 90)</f>
      </c>
      <c r="BI122" s="14179">
        <f>IF(HLOOKUP("Mins",A1:CV300,122,FALSE)=0,0,HLOOKUP("BC Created",A1:CV300,122,FALSE)/HLOOKUP("Mins",A1:CV300,122,FALSE)* 90)</f>
      </c>
      <c r="BJ122" s="14180">
        <f>IF(HLOOKUP("Mins",A1:CV300,122,FALSE)=0,0,HLOOKUP("KP",A1:CV300,122,FALSE)/HLOOKUP("Mins",A1:CV300,122,FALSE)* 90)</f>
      </c>
      <c r="BK122" s="14181">
        <f>IF(HLOOKUP("Mins",A1:CV300,122,FALSE)=0,0,HLOOKUP("BC",A1:CV300,122,FALSE)/HLOOKUP("Mins",A1:CV300,122,FALSE)* 90)</f>
      </c>
      <c r="BL122" s="14182">
        <f>IF(HLOOKUP("Mins",A1:CV300,122,FALSE)=0,0,HLOOKUP("BC Miss",A1:CV300,122,FALSE)/HLOOKUP("Mins",A1:CV300,122,FALSE)* 90)</f>
      </c>
      <c r="BM122" s="14183">
        <f>IF(HLOOKUP("Mins",A1:CV300,122,FALSE)=0,0,HLOOKUP("Gs - BC",A1:CV300,122,FALSE)/HLOOKUP("Mins",A1:CV300,122,FALSE)* 90)</f>
      </c>
      <c r="BN122" s="14184">
        <f>IF(HLOOKUP("Mins",A1:CV300,122,FALSE)=0,0,HLOOKUP("GIB",A1:CV300,122,FALSE)/HLOOKUP("Mins",A1:CV300,122,FALSE)* 90)</f>
      </c>
      <c r="BO122" s="14185">
        <f>IF(HLOOKUP("Mins",A1:CV300,122,FALSE)=0,0,HLOOKUP("Gs - Open",A1:CV300,122,FALSE)/HLOOKUP("Mins",A1:CV300,122,FALSE)* 90)</f>
      </c>
      <c r="BP122" s="14186">
        <f>IF(HLOOKUP("Mins",A1:CV300,122,FALSE)=0,0,HLOOKUP("ICT Index",A1:CV300,122,FALSE)/HLOOKUP("Mins",A1:CV300,122,FALSE)* 90)</f>
      </c>
      <c r="BQ122" s="14187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4188">
        <f>0.0825*HLOOKUP("KP/90",A1:CV300,122,FALSE)</f>
      </c>
      <c r="BS122" s="14189">
        <f>6*HLOOKUP("xG/90",A1:CV300,122,FALSE)+3*HLOOKUP("xA/90",A1:CV300,122,FALSE)</f>
      </c>
      <c r="BT122" s="14190">
        <f>HLOOKUP("xPts/90",A1:CV300,122,FALSE)-(6*0.75*(HLOOKUP("PK Gs",A1:CV300,122,FALSE)+HLOOKUP("PK Miss",A1:CV300,122,FALSE))*90/HLOOKUP("Mins",A1:CV300,122,FALSE))</f>
      </c>
      <c r="BU122" s="14191">
        <f>IF(HLOOKUP("Mins",A1:CV300,122,FALSE)=0,0,HLOOKUP("fsXG",A1:CV300,122,FALSE)/HLOOKUP("Mins",A1:CV300,122,FALSE)* 90)</f>
      </c>
      <c r="BV122" s="14192">
        <f>IF(HLOOKUP("Mins",A1:CV300,122,FALSE)=0,0,HLOOKUP("fsXA",A1:CV300,122,FALSE)/HLOOKUP("Mins",A1:CV300,122,FALSE)* 90)</f>
      </c>
      <c r="BW122" s="14193">
        <f>6*HLOOKUP("fsXG/90",A1:CV300,122,FALSE)+3*HLOOKUP("fsXA/90",A1:CV300,122,FALSE)</f>
      </c>
      <c r="BX122" t="n" s="14194">
        <v>0.0</v>
      </c>
      <c r="BY122" t="n" s="14195">
        <v>0.0</v>
      </c>
      <c r="BZ122" s="14196">
        <f>6*HLOOKUP("uXG/90",A1:CV300,122,FALSE)+3*HLOOKUP("uXA/90",A1:CV300,122,FALSE)</f>
      </c>
    </row>
    <row r="123">
      <c r="A123" t="s" s="14197">
        <v>279</v>
      </c>
      <c r="B123" t="s" s="14198">
        <v>92</v>
      </c>
      <c r="C123" t="n" s="14199">
        <v>4.300000190734863</v>
      </c>
      <c r="D123" t="n" s="14200">
        <v>450.0</v>
      </c>
      <c r="E123" t="n" s="14201">
        <v>5.0</v>
      </c>
      <c r="F123" t="n" s="14202">
        <v>26.0</v>
      </c>
      <c r="G123" t="n" s="14203">
        <v>0.0</v>
      </c>
      <c r="H123" t="n" s="14204">
        <v>2.0</v>
      </c>
      <c r="I123" t="n" s="14205">
        <v>161.0</v>
      </c>
      <c r="J123" s="14206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4207">
        <v>0.0</v>
      </c>
      <c r="L123" t="n" s="14208">
        <v>1.0</v>
      </c>
      <c r="M123" t="n" s="14209">
        <v>7.0</v>
      </c>
      <c r="N123" t="n" s="14210">
        <v>4.0</v>
      </c>
      <c r="O123" t="n" s="14211">
        <v>4.0</v>
      </c>
      <c r="P123" s="14212">
        <f>IF(HLOOKUP("Shots",A1:CV300,123,FALSE)=0,0,HLOOKUP("SIB",A1:CV300,123,FALSE)/HLOOKUP("Shots",A1:CV300,123,FALSE))</f>
      </c>
      <c r="Q123" t="n" s="14213">
        <v>0.0</v>
      </c>
      <c r="R123" s="14214">
        <f>IF(HLOOKUP("Shots",A1:CV300,123,FALSE)=0,0,HLOOKUP("S6YD",A1:CV300,123,FALSE)/HLOOKUP("Shots",A1:CV300,123,FALSE))</f>
      </c>
      <c r="S123" t="n" s="14215">
        <v>3.0</v>
      </c>
      <c r="T123" s="14216">
        <f>IF(HLOOKUP("Shots",A1:CV300,123,FALSE)=0,0,HLOOKUP("Headers",A1:CV300,123,FALSE)/HLOOKUP("Shots",A1:CV300,123,FALSE))</f>
      </c>
      <c r="U123" t="n" s="14217">
        <v>0.0</v>
      </c>
      <c r="V123" s="14218">
        <f>IF(HLOOKUP("Shots",A1:CV300,123,FALSE)=0,0,HLOOKUP("SOT",A1:CV300,123,FALSE)/HLOOKUP("Shots",A1:CV300,123,FALSE))</f>
      </c>
      <c r="W123" s="14219">
        <f>IF(HLOOKUP("Shots",A1:CV300,123,FALSE)=0,0,HLOOKUP("Gs",A1:CV300,123,FALSE)/HLOOKUP("Shots",A1:CV300,123,FALSE))</f>
      </c>
      <c r="X123" t="n" s="14220">
        <v>0.0</v>
      </c>
      <c r="Y123" t="n" s="14221">
        <v>0.0</v>
      </c>
      <c r="Z123" t="n" s="14222">
        <v>1.0</v>
      </c>
      <c r="AA123" s="14223">
        <f>IF(HLOOKUP("KP",A1:CV300,123,FALSE)=0,0,HLOOKUP("As",A1:CV300,123,FALSE)/HLOOKUP("KP",A1:CV300,123,FALSE))</f>
      </c>
      <c r="AB123" t="n" s="14224">
        <v>19.0</v>
      </c>
      <c r="AC123" t="n" s="14225">
        <v>0.0</v>
      </c>
      <c r="AD123" t="n" s="14226">
        <v>0.0</v>
      </c>
      <c r="AE123" t="n" s="14227">
        <v>0.0</v>
      </c>
      <c r="AF123" t="n" s="14228">
        <v>0.0</v>
      </c>
      <c r="AG123" s="14229">
        <f>IF(HLOOKUP("BC",A1:CV300,123,FALSE)=0,0,HLOOKUP("Gs - BC",A1:CV300,123,FALSE)/HLOOKUP("BC",A1:CV300,123,FALSE))</f>
      </c>
      <c r="AH123" s="14230">
        <f>HLOOKUP("BC",A1:CV300,123,FALSE) - HLOOKUP("BC Miss",A1:CV300,123,FALSE)</f>
      </c>
      <c r="AI123" s="14231">
        <f>IF(HLOOKUP("Gs",A1:CV300,123,FALSE)=0,0,HLOOKUP("Gs - BC",A1:CV300,123,FALSE)/HLOOKUP("Gs",A1:CV300,123,FALSE))</f>
      </c>
      <c r="AJ123" t="n" s="14232">
        <v>0.0</v>
      </c>
      <c r="AK123" t="n" s="14233">
        <v>0.0</v>
      </c>
      <c r="AL123" s="14234">
        <f>HLOOKUP("BC",A1:CV300,123,FALSE) - (HLOOKUP("PK Gs",A1:CV300,123,FALSE) + HLOOKUP("PK Miss",A1:CV300,123,FALSE))</f>
      </c>
      <c r="AM123" s="14235">
        <f>HLOOKUP("BC Miss",A1:CV300,123,FALSE) - HLOOKUP("PK Miss",A1:CV300,123,FALSE)</f>
      </c>
      <c r="AN123" s="14236">
        <f>IF(HLOOKUP("BC - Open",A1:CV300,123,FALSE)=0,0,HLOOKUP("BC - Open Miss",A1:CV300,123,FALSE)/HLOOKUP("BC - Open",A1:CV300,123,FALSE))</f>
      </c>
      <c r="AO123" t="n" s="14237">
        <v>0.0</v>
      </c>
      <c r="AP123" s="14238">
        <f>IF(HLOOKUP("Gs",A1:CV300,123,FALSE)=0,0,HLOOKUP("GIB",A1:CV300,123,FALSE)/HLOOKUP("Gs",A1:CV300,123,FALSE))</f>
      </c>
      <c r="AQ123" t="n" s="14239">
        <v>0.0</v>
      </c>
      <c r="AR123" s="14240">
        <f>IF(HLOOKUP("Gs",A1:CV300,123,FALSE)=0,0,HLOOKUP("Gs - Open",A1:CV300,123,FALSE)/HLOOKUP("Gs",A1:CV300,123,FALSE))</f>
      </c>
      <c r="AS123" t="n" s="14241">
        <v>0.29</v>
      </c>
      <c r="AT123" t="n" s="14242">
        <v>0.02</v>
      </c>
      <c r="AU123" s="14243">
        <f>IF(HLOOKUP("Mins",A1:CV300,123,FALSE)=0,0,HLOOKUP("Pts",A1:CV300,123,FALSE)/HLOOKUP("Mins",A1:CV300,123,FALSE)* 90)</f>
      </c>
      <c r="AV123" s="14244">
        <f>IF(HLOOKUP("Apps",A1:CV300,123,FALSE)=0,0,HLOOKUP("Pts",A1:CV300,123,FALSE)/HLOOKUP("Apps",A1:CV300,123,FALSE)* 1)</f>
      </c>
      <c r="AW123" s="14245">
        <f>IF(HLOOKUP("Mins",A1:CV300,123,FALSE)=0,0,HLOOKUP("Gs",A1:CV300,123,FALSE)/HLOOKUP("Mins",A1:CV300,123,FALSE)* 90)</f>
      </c>
      <c r="AX123" s="14246">
        <f>IF(HLOOKUP("Mins",A1:CV300,123,FALSE)=0,0,HLOOKUP("Bonus",A1:CV300,123,FALSE)/HLOOKUP("Mins",A1:CV300,123,FALSE)* 90)</f>
      </c>
      <c r="AY123" s="14247">
        <f>IF(HLOOKUP("Mins",A1:CV300,123,FALSE)=0,0,HLOOKUP("BPS",A1:CV300,123,FALSE)/HLOOKUP("Mins",A1:CV300,123,FALSE)* 90)</f>
      </c>
      <c r="AZ123" s="14248">
        <f>IF(HLOOKUP("Mins",A1:CV300,123,FALSE)=0,0,HLOOKUP("Base BPS",A1:CV300,123,FALSE)/HLOOKUP("Mins",A1:CV300,123,FALSE)* 90)</f>
      </c>
      <c r="BA123" s="14249">
        <f>IF(HLOOKUP("Mins",A1:CV300,123,FALSE)=0,0,HLOOKUP("PenTchs",A1:CV300,123,FALSE)/HLOOKUP("Mins",A1:CV300,123,FALSE)* 90)</f>
      </c>
      <c r="BB123" s="14250">
        <f>IF(HLOOKUP("Mins",A1:CV300,123,FALSE)=0,0,HLOOKUP("Shots",A1:CV300,123,FALSE)/HLOOKUP("Mins",A1:CV300,123,FALSE)* 90)</f>
      </c>
      <c r="BC123" s="14251">
        <f>IF(HLOOKUP("Mins",A1:CV300,123,FALSE)=0,0,HLOOKUP("SIB",A1:CV300,123,FALSE)/HLOOKUP("Mins",A1:CV300,123,FALSE)* 90)</f>
      </c>
      <c r="BD123" s="14252">
        <f>IF(HLOOKUP("Mins",A1:CV300,123,FALSE)=0,0,HLOOKUP("S6YD",A1:CV300,123,FALSE)/HLOOKUP("Mins",A1:CV300,123,FALSE)* 90)</f>
      </c>
      <c r="BE123" s="14253">
        <f>IF(HLOOKUP("Mins",A1:CV300,123,FALSE)=0,0,HLOOKUP("Headers",A1:CV300,123,FALSE)/HLOOKUP("Mins",A1:CV300,123,FALSE)* 90)</f>
      </c>
      <c r="BF123" s="14254">
        <f>IF(HLOOKUP("Mins",A1:CV300,123,FALSE)=0,0,HLOOKUP("SOT",A1:CV300,123,FALSE)/HLOOKUP("Mins",A1:CV300,123,FALSE)* 90)</f>
      </c>
      <c r="BG123" s="14255">
        <f>IF(HLOOKUP("Mins",A1:CV300,123,FALSE)=0,0,HLOOKUP("As",A1:CV300,123,FALSE)/HLOOKUP("Mins",A1:CV300,123,FALSE)* 90)</f>
      </c>
      <c r="BH123" s="14256">
        <f>IF(HLOOKUP("Mins",A1:CV300,123,FALSE)=0,0,HLOOKUP("FPL As",A1:CV300,123,FALSE)/HLOOKUP("Mins",A1:CV300,123,FALSE)* 90)</f>
      </c>
      <c r="BI123" s="14257">
        <f>IF(HLOOKUP("Mins",A1:CV300,123,FALSE)=0,0,HLOOKUP("BC Created",A1:CV300,123,FALSE)/HLOOKUP("Mins",A1:CV300,123,FALSE)* 90)</f>
      </c>
      <c r="BJ123" s="14258">
        <f>IF(HLOOKUP("Mins",A1:CV300,123,FALSE)=0,0,HLOOKUP("KP",A1:CV300,123,FALSE)/HLOOKUP("Mins",A1:CV300,123,FALSE)* 90)</f>
      </c>
      <c r="BK123" s="14259">
        <f>IF(HLOOKUP("Mins",A1:CV300,123,FALSE)=0,0,HLOOKUP("BC",A1:CV300,123,FALSE)/HLOOKUP("Mins",A1:CV300,123,FALSE)* 90)</f>
      </c>
      <c r="BL123" s="14260">
        <f>IF(HLOOKUP("Mins",A1:CV300,123,FALSE)=0,0,HLOOKUP("BC Miss",A1:CV300,123,FALSE)/HLOOKUP("Mins",A1:CV300,123,FALSE)* 90)</f>
      </c>
      <c r="BM123" s="14261">
        <f>IF(HLOOKUP("Mins",A1:CV300,123,FALSE)=0,0,HLOOKUP("Gs - BC",A1:CV300,123,FALSE)/HLOOKUP("Mins",A1:CV300,123,FALSE)* 90)</f>
      </c>
      <c r="BN123" s="14262">
        <f>IF(HLOOKUP("Mins",A1:CV300,123,FALSE)=0,0,HLOOKUP("GIB",A1:CV300,123,FALSE)/HLOOKUP("Mins",A1:CV300,123,FALSE)* 90)</f>
      </c>
      <c r="BO123" s="14263">
        <f>IF(HLOOKUP("Mins",A1:CV300,123,FALSE)=0,0,HLOOKUP("Gs - Open",A1:CV300,123,FALSE)/HLOOKUP("Mins",A1:CV300,123,FALSE)* 90)</f>
      </c>
      <c r="BP123" s="14264">
        <f>IF(HLOOKUP("Mins",A1:CV300,123,FALSE)=0,0,HLOOKUP("ICT Index",A1:CV300,123,FALSE)/HLOOKUP("Mins",A1:CV300,123,FALSE)* 90)</f>
      </c>
      <c r="BQ123" s="14265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4266">
        <f>0.0825*HLOOKUP("KP/90",A1:CV300,123,FALSE)</f>
      </c>
      <c r="BS123" s="14267">
        <f>6*HLOOKUP("xG/90",A1:CV300,123,FALSE)+3*HLOOKUP("xA/90",A1:CV300,123,FALSE)</f>
      </c>
      <c r="BT123" s="14268">
        <f>HLOOKUP("xPts/90",A1:CV300,123,FALSE)-(6*0.75*(HLOOKUP("PK Gs",A1:CV300,123,FALSE)+HLOOKUP("PK Miss",A1:CV300,123,FALSE))*90/HLOOKUP("Mins",A1:CV300,123,FALSE))</f>
      </c>
      <c r="BU123" s="14269">
        <f>IF(HLOOKUP("Mins",A1:CV300,123,FALSE)=0,0,HLOOKUP("fsXG",A1:CV300,123,FALSE)/HLOOKUP("Mins",A1:CV300,123,FALSE)* 90)</f>
      </c>
      <c r="BV123" s="14270">
        <f>IF(HLOOKUP("Mins",A1:CV300,123,FALSE)=0,0,HLOOKUP("fsXA",A1:CV300,123,FALSE)/HLOOKUP("Mins",A1:CV300,123,FALSE)* 90)</f>
      </c>
      <c r="BW123" s="14271">
        <f>6*HLOOKUP("fsXG/90",A1:CV300,123,FALSE)+3*HLOOKUP("fsXA/90",A1:CV300,123,FALSE)</f>
      </c>
      <c r="BX123" t="n" s="14272">
        <v>0.0549144521355629</v>
      </c>
      <c r="BY123" t="n" s="14273">
        <v>0.01534727681428194</v>
      </c>
      <c r="BZ123" s="14274">
        <f>6*HLOOKUP("uXG/90",A1:CV300,123,FALSE)+3*HLOOKUP("uXA/90",A1:CV300,123,FALSE)</f>
      </c>
    </row>
    <row r="124">
      <c r="A124" t="s" s="14275">
        <v>280</v>
      </c>
      <c r="B124" t="s" s="14276">
        <v>102</v>
      </c>
      <c r="C124" t="n" s="14277">
        <v>4.300000190734863</v>
      </c>
      <c r="D124" t="n" s="14278">
        <v>90.0</v>
      </c>
      <c r="E124" t="n" s="14279">
        <v>1.0</v>
      </c>
      <c r="F124" t="n" s="14280">
        <v>36.0</v>
      </c>
      <c r="G124" t="n" s="14281">
        <v>0.0</v>
      </c>
      <c r="H124" t="n" s="14282">
        <v>2.0</v>
      </c>
      <c r="I124" t="n" s="14283">
        <v>156.0</v>
      </c>
      <c r="J124" s="14284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4285">
        <v>0.0</v>
      </c>
      <c r="L124" t="n" s="14286">
        <v>2.0</v>
      </c>
      <c r="M124" t="n" s="14287">
        <v>0.0</v>
      </c>
      <c r="N124" t="n" s="14288">
        <v>0.0</v>
      </c>
      <c r="O124" t="n" s="14289">
        <v>0.0</v>
      </c>
      <c r="P124" s="14290">
        <f>IF(HLOOKUP("Shots",A1:CV300,124,FALSE)=0,0,HLOOKUP("SIB",A1:CV300,124,FALSE)/HLOOKUP("Shots",A1:CV300,124,FALSE))</f>
      </c>
      <c r="Q124" t="n" s="14291">
        <v>0.0</v>
      </c>
      <c r="R124" s="14292">
        <f>IF(HLOOKUP("Shots",A1:CV300,124,FALSE)=0,0,HLOOKUP("S6YD",A1:CV300,124,FALSE)/HLOOKUP("Shots",A1:CV300,124,FALSE))</f>
      </c>
      <c r="S124" t="n" s="14293">
        <v>0.0</v>
      </c>
      <c r="T124" s="14294">
        <f>IF(HLOOKUP("Shots",A1:CV300,124,FALSE)=0,0,HLOOKUP("Headers",A1:CV300,124,FALSE)/HLOOKUP("Shots",A1:CV300,124,FALSE))</f>
      </c>
      <c r="U124" t="n" s="14295">
        <v>0.0</v>
      </c>
      <c r="V124" s="14296">
        <f>IF(HLOOKUP("Shots",A1:CV300,124,FALSE)=0,0,HLOOKUP("SOT",A1:CV300,124,FALSE)/HLOOKUP("Shots",A1:CV300,124,FALSE))</f>
      </c>
      <c r="W124" s="14297">
        <f>IF(HLOOKUP("Shots",A1:CV300,124,FALSE)=0,0,HLOOKUP("Gs",A1:CV300,124,FALSE)/HLOOKUP("Shots",A1:CV300,124,FALSE))</f>
      </c>
      <c r="X124" t="n" s="14298">
        <v>0.0</v>
      </c>
      <c r="Y124" t="n" s="14299">
        <v>0.0</v>
      </c>
      <c r="Z124" t="n" s="14300">
        <v>0.0</v>
      </c>
      <c r="AA124" s="14301">
        <f>IF(HLOOKUP("KP",A1:CV300,124,FALSE)=0,0,HLOOKUP("As",A1:CV300,124,FALSE)/HLOOKUP("KP",A1:CV300,124,FALSE))</f>
      </c>
      <c r="AB124" t="n" s="14302">
        <v>2.1</v>
      </c>
      <c r="AC124" t="n" s="14303">
        <v>0.0</v>
      </c>
      <c r="AD124" t="n" s="14304">
        <v>0.0</v>
      </c>
      <c r="AE124" t="n" s="14305">
        <v>0.0</v>
      </c>
      <c r="AF124" t="n" s="14306">
        <v>0.0</v>
      </c>
      <c r="AG124" s="14307">
        <f>IF(HLOOKUP("BC",A1:CV300,124,FALSE)=0,0,HLOOKUP("Gs - BC",A1:CV300,124,FALSE)/HLOOKUP("BC",A1:CV300,124,FALSE))</f>
      </c>
      <c r="AH124" s="14308">
        <f>HLOOKUP("BC",A1:CV300,124,FALSE) - HLOOKUP("BC Miss",A1:CV300,124,FALSE)</f>
      </c>
      <c r="AI124" s="14309">
        <f>IF(HLOOKUP("Gs",A1:CV300,124,FALSE)=0,0,HLOOKUP("Gs - BC",A1:CV300,124,FALSE)/HLOOKUP("Gs",A1:CV300,124,FALSE))</f>
      </c>
      <c r="AJ124" t="n" s="14310">
        <v>0.0</v>
      </c>
      <c r="AK124" t="n" s="14311">
        <v>0.0</v>
      </c>
      <c r="AL124" s="14312">
        <f>HLOOKUP("BC",A1:CV300,124,FALSE) - (HLOOKUP("PK Gs",A1:CV300,124,FALSE) + HLOOKUP("PK Miss",A1:CV300,124,FALSE))</f>
      </c>
      <c r="AM124" s="14313">
        <f>HLOOKUP("BC Miss",A1:CV300,124,FALSE) - HLOOKUP("PK Miss",A1:CV300,124,FALSE)</f>
      </c>
      <c r="AN124" s="14314">
        <f>IF(HLOOKUP("BC - Open",A1:CV300,124,FALSE)=0,0,HLOOKUP("BC - Open Miss",A1:CV300,124,FALSE)/HLOOKUP("BC - Open",A1:CV300,124,FALSE))</f>
      </c>
      <c r="AO124" t="n" s="14315">
        <v>0.0</v>
      </c>
      <c r="AP124" s="14316">
        <f>IF(HLOOKUP("Gs",A1:CV300,124,FALSE)=0,0,HLOOKUP("GIB",A1:CV300,124,FALSE)/HLOOKUP("Gs",A1:CV300,124,FALSE))</f>
      </c>
      <c r="AQ124" t="n" s="14317">
        <v>0.0</v>
      </c>
      <c r="AR124" s="14318">
        <f>IF(HLOOKUP("Gs",A1:CV300,124,FALSE)=0,0,HLOOKUP("Gs - Open",A1:CV300,124,FALSE)/HLOOKUP("Gs",A1:CV300,124,FALSE))</f>
      </c>
      <c r="AS124" t="n" s="14319">
        <v>0.0</v>
      </c>
      <c r="AT124" t="n" s="14320">
        <v>0.0</v>
      </c>
      <c r="AU124" s="14321">
        <f>IF(HLOOKUP("Mins",A1:CV300,124,FALSE)=0,0,HLOOKUP("Pts",A1:CV300,124,FALSE)/HLOOKUP("Mins",A1:CV300,124,FALSE)* 90)</f>
      </c>
      <c r="AV124" s="14322">
        <f>IF(HLOOKUP("Apps",A1:CV300,124,FALSE)=0,0,HLOOKUP("Pts",A1:CV300,124,FALSE)/HLOOKUP("Apps",A1:CV300,124,FALSE)* 1)</f>
      </c>
      <c r="AW124" s="14323">
        <f>IF(HLOOKUP("Mins",A1:CV300,124,FALSE)=0,0,HLOOKUP("Gs",A1:CV300,124,FALSE)/HLOOKUP("Mins",A1:CV300,124,FALSE)* 90)</f>
      </c>
      <c r="AX124" s="14324">
        <f>IF(HLOOKUP("Mins",A1:CV300,124,FALSE)=0,0,HLOOKUP("Bonus",A1:CV300,124,FALSE)/HLOOKUP("Mins",A1:CV300,124,FALSE)* 90)</f>
      </c>
      <c r="AY124" s="14325">
        <f>IF(HLOOKUP("Mins",A1:CV300,124,FALSE)=0,0,HLOOKUP("BPS",A1:CV300,124,FALSE)/HLOOKUP("Mins",A1:CV300,124,FALSE)* 90)</f>
      </c>
      <c r="AZ124" s="14326">
        <f>IF(HLOOKUP("Mins",A1:CV300,124,FALSE)=0,0,HLOOKUP("Base BPS",A1:CV300,124,FALSE)/HLOOKUP("Mins",A1:CV300,124,FALSE)* 90)</f>
      </c>
      <c r="BA124" s="14327">
        <f>IF(HLOOKUP("Mins",A1:CV300,124,FALSE)=0,0,HLOOKUP("PenTchs",A1:CV300,124,FALSE)/HLOOKUP("Mins",A1:CV300,124,FALSE)* 90)</f>
      </c>
      <c r="BB124" s="14328">
        <f>IF(HLOOKUP("Mins",A1:CV300,124,FALSE)=0,0,HLOOKUP("Shots",A1:CV300,124,FALSE)/HLOOKUP("Mins",A1:CV300,124,FALSE)* 90)</f>
      </c>
      <c r="BC124" s="14329">
        <f>IF(HLOOKUP("Mins",A1:CV300,124,FALSE)=0,0,HLOOKUP("SIB",A1:CV300,124,FALSE)/HLOOKUP("Mins",A1:CV300,124,FALSE)* 90)</f>
      </c>
      <c r="BD124" s="14330">
        <f>IF(HLOOKUP("Mins",A1:CV300,124,FALSE)=0,0,HLOOKUP("S6YD",A1:CV300,124,FALSE)/HLOOKUP("Mins",A1:CV300,124,FALSE)* 90)</f>
      </c>
      <c r="BE124" s="14331">
        <f>IF(HLOOKUP("Mins",A1:CV300,124,FALSE)=0,0,HLOOKUP("Headers",A1:CV300,124,FALSE)/HLOOKUP("Mins",A1:CV300,124,FALSE)* 90)</f>
      </c>
      <c r="BF124" s="14332">
        <f>IF(HLOOKUP("Mins",A1:CV300,124,FALSE)=0,0,HLOOKUP("SOT",A1:CV300,124,FALSE)/HLOOKUP("Mins",A1:CV300,124,FALSE)* 90)</f>
      </c>
      <c r="BG124" s="14333">
        <f>IF(HLOOKUP("Mins",A1:CV300,124,FALSE)=0,0,HLOOKUP("As",A1:CV300,124,FALSE)/HLOOKUP("Mins",A1:CV300,124,FALSE)* 90)</f>
      </c>
      <c r="BH124" s="14334">
        <f>IF(HLOOKUP("Mins",A1:CV300,124,FALSE)=0,0,HLOOKUP("FPL As",A1:CV300,124,FALSE)/HLOOKUP("Mins",A1:CV300,124,FALSE)* 90)</f>
      </c>
      <c r="BI124" s="14335">
        <f>IF(HLOOKUP("Mins",A1:CV300,124,FALSE)=0,0,HLOOKUP("BC Created",A1:CV300,124,FALSE)/HLOOKUP("Mins",A1:CV300,124,FALSE)* 90)</f>
      </c>
      <c r="BJ124" s="14336">
        <f>IF(HLOOKUP("Mins",A1:CV300,124,FALSE)=0,0,HLOOKUP("KP",A1:CV300,124,FALSE)/HLOOKUP("Mins",A1:CV300,124,FALSE)* 90)</f>
      </c>
      <c r="BK124" s="14337">
        <f>IF(HLOOKUP("Mins",A1:CV300,124,FALSE)=0,0,HLOOKUP("BC",A1:CV300,124,FALSE)/HLOOKUP("Mins",A1:CV300,124,FALSE)* 90)</f>
      </c>
      <c r="BL124" s="14338">
        <f>IF(HLOOKUP("Mins",A1:CV300,124,FALSE)=0,0,HLOOKUP("BC Miss",A1:CV300,124,FALSE)/HLOOKUP("Mins",A1:CV300,124,FALSE)* 90)</f>
      </c>
      <c r="BM124" s="14339">
        <f>IF(HLOOKUP("Mins",A1:CV300,124,FALSE)=0,0,HLOOKUP("Gs - BC",A1:CV300,124,FALSE)/HLOOKUP("Mins",A1:CV300,124,FALSE)* 90)</f>
      </c>
      <c r="BN124" s="14340">
        <f>IF(HLOOKUP("Mins",A1:CV300,124,FALSE)=0,0,HLOOKUP("GIB",A1:CV300,124,FALSE)/HLOOKUP("Mins",A1:CV300,124,FALSE)* 90)</f>
      </c>
      <c r="BO124" s="14341">
        <f>IF(HLOOKUP("Mins",A1:CV300,124,FALSE)=0,0,HLOOKUP("Gs - Open",A1:CV300,124,FALSE)/HLOOKUP("Mins",A1:CV300,124,FALSE)* 90)</f>
      </c>
      <c r="BP124" s="14342">
        <f>IF(HLOOKUP("Mins",A1:CV300,124,FALSE)=0,0,HLOOKUP("ICT Index",A1:CV300,124,FALSE)/HLOOKUP("Mins",A1:CV300,124,FALSE)* 90)</f>
      </c>
      <c r="BQ124" s="14343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4344">
        <f>0.0825*HLOOKUP("KP/90",A1:CV300,124,FALSE)</f>
      </c>
      <c r="BS124" s="14345">
        <f>6*HLOOKUP("xG/90",A1:CV300,124,FALSE)+3*HLOOKUP("xA/90",A1:CV300,124,FALSE)</f>
      </c>
      <c r="BT124" s="14346">
        <f>HLOOKUP("xPts/90",A1:CV300,124,FALSE)-(6*0.75*(HLOOKUP("PK Gs",A1:CV300,124,FALSE)+HLOOKUP("PK Miss",A1:CV300,124,FALSE))*90/HLOOKUP("Mins",A1:CV300,124,FALSE))</f>
      </c>
      <c r="BU124" s="14347">
        <f>IF(HLOOKUP("Mins",A1:CV300,124,FALSE)=0,0,HLOOKUP("fsXG",A1:CV300,124,FALSE)/HLOOKUP("Mins",A1:CV300,124,FALSE)* 90)</f>
      </c>
      <c r="BV124" s="14348">
        <f>IF(HLOOKUP("Mins",A1:CV300,124,FALSE)=0,0,HLOOKUP("fsXA",A1:CV300,124,FALSE)/HLOOKUP("Mins",A1:CV300,124,FALSE)* 90)</f>
      </c>
      <c r="BW124" s="14349">
        <f>6*HLOOKUP("fsXG/90",A1:CV300,124,FALSE)+3*HLOOKUP("fsXA/90",A1:CV300,124,FALSE)</f>
      </c>
      <c r="BX124" t="n" s="14350">
        <v>0.0</v>
      </c>
      <c r="BY124" t="n" s="14351">
        <v>0.0</v>
      </c>
      <c r="BZ124" s="14352">
        <f>6*HLOOKUP("uXG/90",A1:CV300,124,FALSE)+3*HLOOKUP("uXA/90",A1:CV300,124,FALSE)</f>
      </c>
    </row>
    <row r="125">
      <c r="A125" t="s" s="14353">
        <v>281</v>
      </c>
      <c r="B125" t="s" s="14354">
        <v>105</v>
      </c>
      <c r="C125" t="n" s="14355">
        <v>5.199999809265137</v>
      </c>
      <c r="D125" t="n" s="14356">
        <v>180.0</v>
      </c>
      <c r="E125" t="n" s="14357">
        <v>2.0</v>
      </c>
      <c r="F125" t="n" s="14358">
        <v>23.0</v>
      </c>
      <c r="G125" t="n" s="14359">
        <v>0.0</v>
      </c>
      <c r="H125" t="n" s="14360">
        <v>3.0</v>
      </c>
      <c r="I125" t="n" s="14361">
        <v>143.0</v>
      </c>
      <c r="J125" s="14362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4363">
        <v>0.0</v>
      </c>
      <c r="L125" t="n" s="14364">
        <v>2.0</v>
      </c>
      <c r="M125" t="n" s="14365">
        <v>3.0</v>
      </c>
      <c r="N125" t="n" s="14366">
        <v>2.0</v>
      </c>
      <c r="O125" t="n" s="14367">
        <v>0.0</v>
      </c>
      <c r="P125" s="14368">
        <f>IF(HLOOKUP("Shots",A1:CV300,125,FALSE)=0,0,HLOOKUP("SIB",A1:CV300,125,FALSE)/HLOOKUP("Shots",A1:CV300,125,FALSE))</f>
      </c>
      <c r="Q125" t="n" s="14369">
        <v>0.0</v>
      </c>
      <c r="R125" s="14370">
        <f>IF(HLOOKUP("Shots",A1:CV300,125,FALSE)=0,0,HLOOKUP("S6YD",A1:CV300,125,FALSE)/HLOOKUP("Shots",A1:CV300,125,FALSE))</f>
      </c>
      <c r="S125" t="n" s="14371">
        <v>0.0</v>
      </c>
      <c r="T125" s="14372">
        <f>IF(HLOOKUP("Shots",A1:CV300,125,FALSE)=0,0,HLOOKUP("Headers",A1:CV300,125,FALSE)/HLOOKUP("Shots",A1:CV300,125,FALSE))</f>
      </c>
      <c r="U125" t="n" s="14373">
        <v>1.0</v>
      </c>
      <c r="V125" s="14374">
        <f>IF(HLOOKUP("Shots",A1:CV300,125,FALSE)=0,0,HLOOKUP("SOT",A1:CV300,125,FALSE)/HLOOKUP("Shots",A1:CV300,125,FALSE))</f>
      </c>
      <c r="W125" s="14375">
        <f>IF(HLOOKUP("Shots",A1:CV300,125,FALSE)=0,0,HLOOKUP("Gs",A1:CV300,125,FALSE)/HLOOKUP("Shots",A1:CV300,125,FALSE))</f>
      </c>
      <c r="X125" t="n" s="14376">
        <v>0.0</v>
      </c>
      <c r="Y125" t="n" s="14377">
        <v>0.0</v>
      </c>
      <c r="Z125" t="n" s="14378">
        <v>3.0</v>
      </c>
      <c r="AA125" s="14379">
        <f>IF(HLOOKUP("KP",A1:CV300,125,FALSE)=0,0,HLOOKUP("As",A1:CV300,125,FALSE)/HLOOKUP("KP",A1:CV300,125,FALSE))</f>
      </c>
      <c r="AB125" t="n" s="14380">
        <v>9.5</v>
      </c>
      <c r="AC125" t="n" s="14381">
        <v>0.0</v>
      </c>
      <c r="AD125" t="n" s="14382">
        <v>1.0</v>
      </c>
      <c r="AE125" t="n" s="14383">
        <v>0.0</v>
      </c>
      <c r="AF125" t="n" s="14384">
        <v>0.0</v>
      </c>
      <c r="AG125" s="14385">
        <f>IF(HLOOKUP("BC",A1:CV300,125,FALSE)=0,0,HLOOKUP("Gs - BC",A1:CV300,125,FALSE)/HLOOKUP("BC",A1:CV300,125,FALSE))</f>
      </c>
      <c r="AH125" s="14386">
        <f>HLOOKUP("BC",A1:CV300,125,FALSE) - HLOOKUP("BC Miss",A1:CV300,125,FALSE)</f>
      </c>
      <c r="AI125" s="14387">
        <f>IF(HLOOKUP("Gs",A1:CV300,125,FALSE)=0,0,HLOOKUP("Gs - BC",A1:CV300,125,FALSE)/HLOOKUP("Gs",A1:CV300,125,FALSE))</f>
      </c>
      <c r="AJ125" t="n" s="14388">
        <v>0.0</v>
      </c>
      <c r="AK125" t="n" s="14389">
        <v>0.0</v>
      </c>
      <c r="AL125" s="14390">
        <f>HLOOKUP("BC",A1:CV300,125,FALSE) - (HLOOKUP("PK Gs",A1:CV300,125,FALSE) + HLOOKUP("PK Miss",A1:CV300,125,FALSE))</f>
      </c>
      <c r="AM125" s="14391">
        <f>HLOOKUP("BC Miss",A1:CV300,125,FALSE) - HLOOKUP("PK Miss",A1:CV300,125,FALSE)</f>
      </c>
      <c r="AN125" s="14392">
        <f>IF(HLOOKUP("BC - Open",A1:CV300,125,FALSE)=0,0,HLOOKUP("BC - Open Miss",A1:CV300,125,FALSE)/HLOOKUP("BC - Open",A1:CV300,125,FALSE))</f>
      </c>
      <c r="AO125" t="n" s="14393">
        <v>0.0</v>
      </c>
      <c r="AP125" s="14394">
        <f>IF(HLOOKUP("Gs",A1:CV300,125,FALSE)=0,0,HLOOKUP("GIB",A1:CV300,125,FALSE)/HLOOKUP("Gs",A1:CV300,125,FALSE))</f>
      </c>
      <c r="AQ125" t="n" s="14395">
        <v>0.0</v>
      </c>
      <c r="AR125" s="14396">
        <f>IF(HLOOKUP("Gs",A1:CV300,125,FALSE)=0,0,HLOOKUP("Gs - Open",A1:CV300,125,FALSE)/HLOOKUP("Gs",A1:CV300,125,FALSE))</f>
      </c>
      <c r="AS125" t="n" s="14397">
        <v>0.05</v>
      </c>
      <c r="AT125" t="n" s="14398">
        <v>0.16</v>
      </c>
      <c r="AU125" s="14399">
        <f>IF(HLOOKUP("Mins",A1:CV300,125,FALSE)=0,0,HLOOKUP("Pts",A1:CV300,125,FALSE)/HLOOKUP("Mins",A1:CV300,125,FALSE)* 90)</f>
      </c>
      <c r="AV125" s="14400">
        <f>IF(HLOOKUP("Apps",A1:CV300,125,FALSE)=0,0,HLOOKUP("Pts",A1:CV300,125,FALSE)/HLOOKUP("Apps",A1:CV300,125,FALSE)* 1)</f>
      </c>
      <c r="AW125" s="14401">
        <f>IF(HLOOKUP("Mins",A1:CV300,125,FALSE)=0,0,HLOOKUP("Gs",A1:CV300,125,FALSE)/HLOOKUP("Mins",A1:CV300,125,FALSE)* 90)</f>
      </c>
      <c r="AX125" s="14402">
        <f>IF(HLOOKUP("Mins",A1:CV300,125,FALSE)=0,0,HLOOKUP("Bonus",A1:CV300,125,FALSE)/HLOOKUP("Mins",A1:CV300,125,FALSE)* 90)</f>
      </c>
      <c r="AY125" s="14403">
        <f>IF(HLOOKUP("Mins",A1:CV300,125,FALSE)=0,0,HLOOKUP("BPS",A1:CV300,125,FALSE)/HLOOKUP("Mins",A1:CV300,125,FALSE)* 90)</f>
      </c>
      <c r="AZ125" s="14404">
        <f>IF(HLOOKUP("Mins",A1:CV300,125,FALSE)=0,0,HLOOKUP("Base BPS",A1:CV300,125,FALSE)/HLOOKUP("Mins",A1:CV300,125,FALSE)* 90)</f>
      </c>
      <c r="BA125" s="14405">
        <f>IF(HLOOKUP("Mins",A1:CV300,125,FALSE)=0,0,HLOOKUP("PenTchs",A1:CV300,125,FALSE)/HLOOKUP("Mins",A1:CV300,125,FALSE)* 90)</f>
      </c>
      <c r="BB125" s="14406">
        <f>IF(HLOOKUP("Mins",A1:CV300,125,FALSE)=0,0,HLOOKUP("Shots",A1:CV300,125,FALSE)/HLOOKUP("Mins",A1:CV300,125,FALSE)* 90)</f>
      </c>
      <c r="BC125" s="14407">
        <f>IF(HLOOKUP("Mins",A1:CV300,125,FALSE)=0,0,HLOOKUP("SIB",A1:CV300,125,FALSE)/HLOOKUP("Mins",A1:CV300,125,FALSE)* 90)</f>
      </c>
      <c r="BD125" s="14408">
        <f>IF(HLOOKUP("Mins",A1:CV300,125,FALSE)=0,0,HLOOKUP("S6YD",A1:CV300,125,FALSE)/HLOOKUP("Mins",A1:CV300,125,FALSE)* 90)</f>
      </c>
      <c r="BE125" s="14409">
        <f>IF(HLOOKUP("Mins",A1:CV300,125,FALSE)=0,0,HLOOKUP("Headers",A1:CV300,125,FALSE)/HLOOKUP("Mins",A1:CV300,125,FALSE)* 90)</f>
      </c>
      <c r="BF125" s="14410">
        <f>IF(HLOOKUP("Mins",A1:CV300,125,FALSE)=0,0,HLOOKUP("SOT",A1:CV300,125,FALSE)/HLOOKUP("Mins",A1:CV300,125,FALSE)* 90)</f>
      </c>
      <c r="BG125" s="14411">
        <f>IF(HLOOKUP("Mins",A1:CV300,125,FALSE)=0,0,HLOOKUP("As",A1:CV300,125,FALSE)/HLOOKUP("Mins",A1:CV300,125,FALSE)* 90)</f>
      </c>
      <c r="BH125" s="14412">
        <f>IF(HLOOKUP("Mins",A1:CV300,125,FALSE)=0,0,HLOOKUP("FPL As",A1:CV300,125,FALSE)/HLOOKUP("Mins",A1:CV300,125,FALSE)* 90)</f>
      </c>
      <c r="BI125" s="14413">
        <f>IF(HLOOKUP("Mins",A1:CV300,125,FALSE)=0,0,HLOOKUP("BC Created",A1:CV300,125,FALSE)/HLOOKUP("Mins",A1:CV300,125,FALSE)* 90)</f>
      </c>
      <c r="BJ125" s="14414">
        <f>IF(HLOOKUP("Mins",A1:CV300,125,FALSE)=0,0,HLOOKUP("KP",A1:CV300,125,FALSE)/HLOOKUP("Mins",A1:CV300,125,FALSE)* 90)</f>
      </c>
      <c r="BK125" s="14415">
        <f>IF(HLOOKUP("Mins",A1:CV300,125,FALSE)=0,0,HLOOKUP("BC",A1:CV300,125,FALSE)/HLOOKUP("Mins",A1:CV300,125,FALSE)* 90)</f>
      </c>
      <c r="BL125" s="14416">
        <f>IF(HLOOKUP("Mins",A1:CV300,125,FALSE)=0,0,HLOOKUP("BC Miss",A1:CV300,125,FALSE)/HLOOKUP("Mins",A1:CV300,125,FALSE)* 90)</f>
      </c>
      <c r="BM125" s="14417">
        <f>IF(HLOOKUP("Mins",A1:CV300,125,FALSE)=0,0,HLOOKUP("Gs - BC",A1:CV300,125,FALSE)/HLOOKUP("Mins",A1:CV300,125,FALSE)* 90)</f>
      </c>
      <c r="BN125" s="14418">
        <f>IF(HLOOKUP("Mins",A1:CV300,125,FALSE)=0,0,HLOOKUP("GIB",A1:CV300,125,FALSE)/HLOOKUP("Mins",A1:CV300,125,FALSE)* 90)</f>
      </c>
      <c r="BO125" s="14419">
        <f>IF(HLOOKUP("Mins",A1:CV300,125,FALSE)=0,0,HLOOKUP("Gs - Open",A1:CV300,125,FALSE)/HLOOKUP("Mins",A1:CV300,125,FALSE)* 90)</f>
      </c>
      <c r="BP125" s="14420">
        <f>IF(HLOOKUP("Mins",A1:CV300,125,FALSE)=0,0,HLOOKUP("ICT Index",A1:CV300,125,FALSE)/HLOOKUP("Mins",A1:CV300,125,FALSE)* 90)</f>
      </c>
      <c r="BQ125" s="14421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4422">
        <f>0.0825*HLOOKUP("KP/90",A1:CV300,125,FALSE)</f>
      </c>
      <c r="BS125" s="14423">
        <f>6*HLOOKUP("xG/90",A1:CV300,125,FALSE)+3*HLOOKUP("xA/90",A1:CV300,125,FALSE)</f>
      </c>
      <c r="BT125" s="14424">
        <f>HLOOKUP("xPts/90",A1:CV300,125,FALSE)-(6*0.75*(HLOOKUP("PK Gs",A1:CV300,125,FALSE)+HLOOKUP("PK Miss",A1:CV300,125,FALSE))*90/HLOOKUP("Mins",A1:CV300,125,FALSE))</f>
      </c>
      <c r="BU125" s="14425">
        <f>IF(HLOOKUP("Mins",A1:CV300,125,FALSE)=0,0,HLOOKUP("fsXG",A1:CV300,125,FALSE)/HLOOKUP("Mins",A1:CV300,125,FALSE)* 90)</f>
      </c>
      <c r="BV125" s="14426">
        <f>IF(HLOOKUP("Mins",A1:CV300,125,FALSE)=0,0,HLOOKUP("fsXA",A1:CV300,125,FALSE)/HLOOKUP("Mins",A1:CV300,125,FALSE)* 90)</f>
      </c>
      <c r="BW125" s="14427">
        <f>6*HLOOKUP("fsXG/90",A1:CV300,125,FALSE)+3*HLOOKUP("fsXA/90",A1:CV300,125,FALSE)</f>
      </c>
      <c r="BX125" t="n" s="14428">
        <v>0.01940864697098732</v>
      </c>
      <c r="BY125" t="n" s="14429">
        <v>0.1697007119655609</v>
      </c>
      <c r="BZ125" s="14430">
        <f>6*HLOOKUP("uXG/90",A1:CV300,125,FALSE)+3*HLOOKUP("uXA/90",A1:CV300,125,FALSE)</f>
      </c>
    </row>
    <row r="126">
      <c r="A126" t="s" s="14431">
        <v>282</v>
      </c>
      <c r="B126" t="s" s="14432">
        <v>92</v>
      </c>
      <c r="C126" t="n" s="14433">
        <v>4.300000190734863</v>
      </c>
      <c r="D126" t="n" s="14434">
        <v>351.0</v>
      </c>
      <c r="E126" t="n" s="14435">
        <v>4.0</v>
      </c>
      <c r="F126" t="n" s="14436">
        <v>23.0</v>
      </c>
      <c r="G126" t="n" s="14437">
        <v>0.0</v>
      </c>
      <c r="H126" t="n" s="14438">
        <v>3.0</v>
      </c>
      <c r="I126" t="n" s="14439">
        <v>129.0</v>
      </c>
      <c r="J126" s="14440">
        <f>HLOOKUP("BPS",A1:CV300,126,FALSE)-((-6*HLOOKUP("OG",A1:CV300,126,FALSE))+(-6*HLOOKUP("PK Miss",A1:CV300,126,FALSE))+(9*HLOOKUP("FPL As",A1:CV300,126,FALSE))+(12*HLOOKUP("CS",A1:CV300,126,FALSE))+(12*HLOOKUP("Gs",A1:CV300,126,FALSE)))</f>
      </c>
      <c r="K126" t="n" s="14441">
        <v>0.0</v>
      </c>
      <c r="L126" t="n" s="14442">
        <v>1.0</v>
      </c>
      <c r="M126" t="n" s="14443">
        <v>9.0</v>
      </c>
      <c r="N126" t="n" s="14444">
        <v>1.0</v>
      </c>
      <c r="O126" t="n" s="14445">
        <v>1.0</v>
      </c>
      <c r="P126" s="14446">
        <f>IF(HLOOKUP("Shots",A1:CV300,126,FALSE)=0,0,HLOOKUP("SIB",A1:CV300,126,FALSE)/HLOOKUP("Shots",A1:CV300,126,FALSE))</f>
      </c>
      <c r="Q126" t="n" s="14447">
        <v>0.0</v>
      </c>
      <c r="R126" s="14448">
        <f>IF(HLOOKUP("Shots",A1:CV300,126,FALSE)=0,0,HLOOKUP("S6YD",A1:CV300,126,FALSE)/HLOOKUP("Shots",A1:CV300,126,FALSE))</f>
      </c>
      <c r="S126" t="n" s="14449">
        <v>0.0</v>
      </c>
      <c r="T126" s="14450">
        <f>IF(HLOOKUP("Shots",A1:CV300,126,FALSE)=0,0,HLOOKUP("Headers",A1:CV300,126,FALSE)/HLOOKUP("Shots",A1:CV300,126,FALSE))</f>
      </c>
      <c r="U126" t="n" s="14451">
        <v>0.0</v>
      </c>
      <c r="V126" s="14452">
        <f>IF(HLOOKUP("Shots",A1:CV300,126,FALSE)=0,0,HLOOKUP("SOT",A1:CV300,126,FALSE)/HLOOKUP("Shots",A1:CV300,126,FALSE))</f>
      </c>
      <c r="W126" s="14453">
        <f>IF(HLOOKUP("Shots",A1:CV300,126,FALSE)=0,0,HLOOKUP("Gs",A1:CV300,126,FALSE)/HLOOKUP("Shots",A1:CV300,126,FALSE))</f>
      </c>
      <c r="X126" t="n" s="14454">
        <v>1.0</v>
      </c>
      <c r="Y126" t="n" s="14455">
        <v>1.0</v>
      </c>
      <c r="Z126" t="n" s="14456">
        <v>2.0</v>
      </c>
      <c r="AA126" s="14457">
        <f>IF(HLOOKUP("KP",A1:CV300,126,FALSE)=0,0,HLOOKUP("As",A1:CV300,126,FALSE)/HLOOKUP("KP",A1:CV300,126,FALSE))</f>
      </c>
      <c r="AB126" t="n" s="14458">
        <v>13.5</v>
      </c>
      <c r="AC126" t="n" s="14459">
        <v>50.0</v>
      </c>
      <c r="AD126" t="n" s="14460">
        <v>1.0</v>
      </c>
      <c r="AE126" t="n" s="14461">
        <v>0.0</v>
      </c>
      <c r="AF126" t="n" s="14462">
        <v>0.0</v>
      </c>
      <c r="AG126" s="14463">
        <f>IF(HLOOKUP("BC",A1:CV300,126,FALSE)=0,0,HLOOKUP("Gs - BC",A1:CV300,126,FALSE)/HLOOKUP("BC",A1:CV300,126,FALSE))</f>
      </c>
      <c r="AH126" s="14464">
        <f>HLOOKUP("BC",A1:CV300,126,FALSE) - HLOOKUP("BC Miss",A1:CV300,126,FALSE)</f>
      </c>
      <c r="AI126" s="14465">
        <f>IF(HLOOKUP("Gs",A1:CV300,126,FALSE)=0,0,HLOOKUP("Gs - BC",A1:CV300,126,FALSE)/HLOOKUP("Gs",A1:CV300,126,FALSE))</f>
      </c>
      <c r="AJ126" t="n" s="14466">
        <v>0.0</v>
      </c>
      <c r="AK126" t="n" s="14467">
        <v>0.0</v>
      </c>
      <c r="AL126" s="14468">
        <f>HLOOKUP("BC",A1:CV300,126,FALSE) - (HLOOKUP("PK Gs",A1:CV300,126,FALSE) + HLOOKUP("PK Miss",A1:CV300,126,FALSE))</f>
      </c>
      <c r="AM126" s="14469">
        <f>HLOOKUP("BC Miss",A1:CV300,126,FALSE) - HLOOKUP("PK Miss",A1:CV300,126,FALSE)</f>
      </c>
      <c r="AN126" s="14470">
        <f>IF(HLOOKUP("BC - Open",A1:CV300,126,FALSE)=0,0,HLOOKUP("BC - Open Miss",A1:CV300,126,FALSE)/HLOOKUP("BC - Open",A1:CV300,126,FALSE))</f>
      </c>
      <c r="AO126" t="n" s="14471">
        <v>0.0</v>
      </c>
      <c r="AP126" s="14472">
        <f>IF(HLOOKUP("Gs",A1:CV300,126,FALSE)=0,0,HLOOKUP("GIB",A1:CV300,126,FALSE)/HLOOKUP("Gs",A1:CV300,126,FALSE))</f>
      </c>
      <c r="AQ126" t="n" s="14473">
        <v>0.0</v>
      </c>
      <c r="AR126" s="14474">
        <f>IF(HLOOKUP("Gs",A1:CV300,126,FALSE)=0,0,HLOOKUP("Gs - Open",A1:CV300,126,FALSE)/HLOOKUP("Gs",A1:CV300,126,FALSE))</f>
      </c>
      <c r="AS126" t="n" s="14475">
        <v>0.06</v>
      </c>
      <c r="AT126" t="n" s="14476">
        <v>0.43</v>
      </c>
      <c r="AU126" s="14477">
        <f>IF(HLOOKUP("Mins",A1:CV300,126,FALSE)=0,0,HLOOKUP("Pts",A1:CV300,126,FALSE)/HLOOKUP("Mins",A1:CV300,126,FALSE)* 90)</f>
      </c>
      <c r="AV126" s="14478">
        <f>IF(HLOOKUP("Apps",A1:CV300,126,FALSE)=0,0,HLOOKUP("Pts",A1:CV300,126,FALSE)/HLOOKUP("Apps",A1:CV300,126,FALSE)* 1)</f>
      </c>
      <c r="AW126" s="14479">
        <f>IF(HLOOKUP("Mins",A1:CV300,126,FALSE)=0,0,HLOOKUP("Gs",A1:CV300,126,FALSE)/HLOOKUP("Mins",A1:CV300,126,FALSE)* 90)</f>
      </c>
      <c r="AX126" s="14480">
        <f>IF(HLOOKUP("Mins",A1:CV300,126,FALSE)=0,0,HLOOKUP("Bonus",A1:CV300,126,FALSE)/HLOOKUP("Mins",A1:CV300,126,FALSE)* 90)</f>
      </c>
      <c r="AY126" s="14481">
        <f>IF(HLOOKUP("Mins",A1:CV300,126,FALSE)=0,0,HLOOKUP("BPS",A1:CV300,126,FALSE)/HLOOKUP("Mins",A1:CV300,126,FALSE)* 90)</f>
      </c>
      <c r="AZ126" s="14482">
        <f>IF(HLOOKUP("Mins",A1:CV300,126,FALSE)=0,0,HLOOKUP("Base BPS",A1:CV300,126,FALSE)/HLOOKUP("Mins",A1:CV300,126,FALSE)* 90)</f>
      </c>
      <c r="BA126" s="14483">
        <f>IF(HLOOKUP("Mins",A1:CV300,126,FALSE)=0,0,HLOOKUP("PenTchs",A1:CV300,126,FALSE)/HLOOKUP("Mins",A1:CV300,126,FALSE)* 90)</f>
      </c>
      <c r="BB126" s="14484">
        <f>IF(HLOOKUP("Mins",A1:CV300,126,FALSE)=0,0,HLOOKUP("Shots",A1:CV300,126,FALSE)/HLOOKUP("Mins",A1:CV300,126,FALSE)* 90)</f>
      </c>
      <c r="BC126" s="14485">
        <f>IF(HLOOKUP("Mins",A1:CV300,126,FALSE)=0,0,HLOOKUP("SIB",A1:CV300,126,FALSE)/HLOOKUP("Mins",A1:CV300,126,FALSE)* 90)</f>
      </c>
      <c r="BD126" s="14486">
        <f>IF(HLOOKUP("Mins",A1:CV300,126,FALSE)=0,0,HLOOKUP("S6YD",A1:CV300,126,FALSE)/HLOOKUP("Mins",A1:CV300,126,FALSE)* 90)</f>
      </c>
      <c r="BE126" s="14487">
        <f>IF(HLOOKUP("Mins",A1:CV300,126,FALSE)=0,0,HLOOKUP("Headers",A1:CV300,126,FALSE)/HLOOKUP("Mins",A1:CV300,126,FALSE)* 90)</f>
      </c>
      <c r="BF126" s="14488">
        <f>IF(HLOOKUP("Mins",A1:CV300,126,FALSE)=0,0,HLOOKUP("SOT",A1:CV300,126,FALSE)/HLOOKUP("Mins",A1:CV300,126,FALSE)* 90)</f>
      </c>
      <c r="BG126" s="14489">
        <f>IF(HLOOKUP("Mins",A1:CV300,126,FALSE)=0,0,HLOOKUP("As",A1:CV300,126,FALSE)/HLOOKUP("Mins",A1:CV300,126,FALSE)* 90)</f>
      </c>
      <c r="BH126" s="14490">
        <f>IF(HLOOKUP("Mins",A1:CV300,126,FALSE)=0,0,HLOOKUP("FPL As",A1:CV300,126,FALSE)/HLOOKUP("Mins",A1:CV300,126,FALSE)* 90)</f>
      </c>
      <c r="BI126" s="14491">
        <f>IF(HLOOKUP("Mins",A1:CV300,126,FALSE)=0,0,HLOOKUP("BC Created",A1:CV300,126,FALSE)/HLOOKUP("Mins",A1:CV300,126,FALSE)* 90)</f>
      </c>
      <c r="BJ126" s="14492">
        <f>IF(HLOOKUP("Mins",A1:CV300,126,FALSE)=0,0,HLOOKUP("KP",A1:CV300,126,FALSE)/HLOOKUP("Mins",A1:CV300,126,FALSE)* 90)</f>
      </c>
      <c r="BK126" s="14493">
        <f>IF(HLOOKUP("Mins",A1:CV300,126,FALSE)=0,0,HLOOKUP("BC",A1:CV300,126,FALSE)/HLOOKUP("Mins",A1:CV300,126,FALSE)* 90)</f>
      </c>
      <c r="BL126" s="14494">
        <f>IF(HLOOKUP("Mins",A1:CV300,126,FALSE)=0,0,HLOOKUP("BC Miss",A1:CV300,126,FALSE)/HLOOKUP("Mins",A1:CV300,126,FALSE)* 90)</f>
      </c>
      <c r="BM126" s="14495">
        <f>IF(HLOOKUP("Mins",A1:CV300,126,FALSE)=0,0,HLOOKUP("Gs - BC",A1:CV300,126,FALSE)/HLOOKUP("Mins",A1:CV300,126,FALSE)* 90)</f>
      </c>
      <c r="BN126" s="14496">
        <f>IF(HLOOKUP("Mins",A1:CV300,126,FALSE)=0,0,HLOOKUP("GIB",A1:CV300,126,FALSE)/HLOOKUP("Mins",A1:CV300,126,FALSE)* 90)</f>
      </c>
      <c r="BO126" s="14497">
        <f>IF(HLOOKUP("Mins",A1:CV300,126,FALSE)=0,0,HLOOKUP("Gs - Open",A1:CV300,126,FALSE)/HLOOKUP("Mins",A1:CV300,126,FALSE)* 90)</f>
      </c>
      <c r="BP126" s="14498">
        <f>IF(HLOOKUP("Mins",A1:CV300,126,FALSE)=0,0,HLOOKUP("ICT Index",A1:CV300,126,FALSE)/HLOOKUP("Mins",A1:CV300,126,FALSE)* 90)</f>
      </c>
      <c r="BQ126" s="14499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</c>
      <c r="BR126" s="14500">
        <f>0.0825*HLOOKUP("KP/90",A1:CV300,126,FALSE)</f>
      </c>
      <c r="BS126" s="14501">
        <f>6*HLOOKUP("xG/90",A1:CV300,126,FALSE)+3*HLOOKUP("xA/90",A1:CV300,126,FALSE)</f>
      </c>
      <c r="BT126" s="14502">
        <f>HLOOKUP("xPts/90",A1:CV300,126,FALSE)-(6*0.75*(HLOOKUP("PK Gs",A1:CV300,126,FALSE)+HLOOKUP("PK Miss",A1:CV300,126,FALSE))*90/HLOOKUP("Mins",A1:CV300,126,FALSE))</f>
      </c>
      <c r="BU126" s="14503">
        <f>IF(HLOOKUP("Mins",A1:CV300,126,FALSE)=0,0,HLOOKUP("fsXG",A1:CV300,126,FALSE)/HLOOKUP("Mins",A1:CV300,126,FALSE)* 90)</f>
      </c>
      <c r="BV126" s="14504">
        <f>IF(HLOOKUP("Mins",A1:CV300,126,FALSE)=0,0,HLOOKUP("fsXA",A1:CV300,126,FALSE)/HLOOKUP("Mins",A1:CV300,126,FALSE)* 90)</f>
      </c>
      <c r="BW126" s="14505">
        <f>6*HLOOKUP("fsXG/90",A1:CV300,126,FALSE)+3*HLOOKUP("fsXA/90",A1:CV300,126,FALSE)</f>
      </c>
      <c r="BX126" t="n" s="14506">
        <v>0.015137921087443829</v>
      </c>
      <c r="BY126" t="n" s="14507">
        <v>0.16131927073001862</v>
      </c>
      <c r="BZ126" s="14508">
        <f>6*HLOOKUP("uXG/90",A1:CV300,126,FALSE)+3*HLOOKUP("uXA/90",A1:CV300,126,FALSE)</f>
      </c>
    </row>
    <row r="127">
      <c r="A127" t="s" s="14509">
        <v>283</v>
      </c>
      <c r="B127" t="s" s="14510">
        <v>112</v>
      </c>
      <c r="C127" t="n" s="14511">
        <v>4.199999809265137</v>
      </c>
      <c r="D127" t="n" s="14512">
        <v>166.0</v>
      </c>
      <c r="E127" t="n" s="14513">
        <v>3.0</v>
      </c>
      <c r="F127" t="n" s="14514">
        <v>23.0</v>
      </c>
      <c r="G127" t="n" s="14515">
        <v>0.0</v>
      </c>
      <c r="H127" t="n" s="14516">
        <v>3.0</v>
      </c>
      <c r="I127" t="n" s="14517">
        <v>140.0</v>
      </c>
      <c r="J127" s="14518">
        <f>HLOOKUP("BPS",A1:CV300,127,FALSE)-((-6*HLOOKUP("OG",A1:CV300,127,FALSE))+(-6*HLOOKUP("PK Miss",A1:CV300,127,FALSE))+(9*HLOOKUP("FPL As",A1:CV300,127,FALSE))+(12*HLOOKUP("CS",A1:CV300,127,FALSE))+(12*HLOOKUP("Gs",A1:CV300,127,FALSE)))</f>
      </c>
      <c r="K127" t="n" s="14519">
        <v>0.0</v>
      </c>
      <c r="L127" t="n" s="14520">
        <v>2.0</v>
      </c>
      <c r="M127" t="n" s="14521">
        <v>3.0</v>
      </c>
      <c r="N127" t="n" s="14522">
        <v>3.0</v>
      </c>
      <c r="O127" t="n" s="14523">
        <v>1.0</v>
      </c>
      <c r="P127" s="14524">
        <f>IF(HLOOKUP("Shots",A1:CV300,127,FALSE)=0,0,HLOOKUP("SIB",A1:CV300,127,FALSE)/HLOOKUP("Shots",A1:CV300,127,FALSE))</f>
      </c>
      <c r="Q127" t="n" s="14525">
        <v>0.0</v>
      </c>
      <c r="R127" s="14526">
        <f>IF(HLOOKUP("Shots",A1:CV300,127,FALSE)=0,0,HLOOKUP("S6YD",A1:CV300,127,FALSE)/HLOOKUP("Shots",A1:CV300,127,FALSE))</f>
      </c>
      <c r="S127" t="n" s="14527">
        <v>0.0</v>
      </c>
      <c r="T127" s="14528">
        <f>IF(HLOOKUP("Shots",A1:CV300,127,FALSE)=0,0,HLOOKUP("Headers",A1:CV300,127,FALSE)/HLOOKUP("Shots",A1:CV300,127,FALSE))</f>
      </c>
      <c r="U127" t="n" s="14529">
        <v>2.0</v>
      </c>
      <c r="V127" s="14530">
        <f>IF(HLOOKUP("Shots",A1:CV300,127,FALSE)=0,0,HLOOKUP("SOT",A1:CV300,127,FALSE)/HLOOKUP("Shots",A1:CV300,127,FALSE))</f>
      </c>
      <c r="W127" s="14531">
        <f>IF(HLOOKUP("Shots",A1:CV300,127,FALSE)=0,0,HLOOKUP("Gs",A1:CV300,127,FALSE)/HLOOKUP("Shots",A1:CV300,127,FALSE))</f>
      </c>
      <c r="X127" t="n" s="14532">
        <v>0.0</v>
      </c>
      <c r="Y127" t="n" s="14533">
        <v>1.0</v>
      </c>
      <c r="Z127" t="n" s="14534">
        <v>1.0</v>
      </c>
      <c r="AA127" s="14535">
        <f>IF(HLOOKUP("KP",A1:CV300,127,FALSE)=0,0,HLOOKUP("As",A1:CV300,127,FALSE)/HLOOKUP("KP",A1:CV300,127,FALSE))</f>
      </c>
      <c r="AB127" t="n" s="14536">
        <v>9.5</v>
      </c>
      <c r="AC127" t="n" s="14537">
        <v>0.0</v>
      </c>
      <c r="AD127" t="n" s="14538">
        <v>0.0</v>
      </c>
      <c r="AE127" t="n" s="14539">
        <v>0.0</v>
      </c>
      <c r="AF127" t="n" s="14540">
        <v>0.0</v>
      </c>
      <c r="AG127" s="14541">
        <f>IF(HLOOKUP("BC",A1:CV300,127,FALSE)=0,0,HLOOKUP("Gs - BC",A1:CV300,127,FALSE)/HLOOKUP("BC",A1:CV300,127,FALSE))</f>
      </c>
      <c r="AH127" s="14542">
        <f>HLOOKUP("BC",A1:CV300,127,FALSE) - HLOOKUP("BC Miss",A1:CV300,127,FALSE)</f>
      </c>
      <c r="AI127" s="14543">
        <f>IF(HLOOKUP("Gs",A1:CV300,127,FALSE)=0,0,HLOOKUP("Gs - BC",A1:CV300,127,FALSE)/HLOOKUP("Gs",A1:CV300,127,FALSE))</f>
      </c>
      <c r="AJ127" t="n" s="14544">
        <v>0.0</v>
      </c>
      <c r="AK127" t="n" s="14545">
        <v>0.0</v>
      </c>
      <c r="AL127" s="14546">
        <f>HLOOKUP("BC",A1:CV300,127,FALSE) - (HLOOKUP("PK Gs",A1:CV300,127,FALSE) + HLOOKUP("PK Miss",A1:CV300,127,FALSE))</f>
      </c>
      <c r="AM127" s="14547">
        <f>HLOOKUP("BC Miss",A1:CV300,127,FALSE) - HLOOKUP("PK Miss",A1:CV300,127,FALSE)</f>
      </c>
      <c r="AN127" s="14548">
        <f>IF(HLOOKUP("BC - Open",A1:CV300,127,FALSE)=0,0,HLOOKUP("BC - Open Miss",A1:CV300,127,FALSE)/HLOOKUP("BC - Open",A1:CV300,127,FALSE))</f>
      </c>
      <c r="AO127" t="n" s="14549">
        <v>0.0</v>
      </c>
      <c r="AP127" s="14550">
        <f>IF(HLOOKUP("Gs",A1:CV300,127,FALSE)=0,0,HLOOKUP("GIB",A1:CV300,127,FALSE)/HLOOKUP("Gs",A1:CV300,127,FALSE))</f>
      </c>
      <c r="AQ127" t="n" s="14551">
        <v>0.0</v>
      </c>
      <c r="AR127" s="14552">
        <f>IF(HLOOKUP("Gs",A1:CV300,127,FALSE)=0,0,HLOOKUP("Gs - Open",A1:CV300,127,FALSE)/HLOOKUP("Gs",A1:CV300,127,FALSE))</f>
      </c>
      <c r="AS127" t="n" s="14553">
        <v>0.08</v>
      </c>
      <c r="AT127" t="n" s="14554">
        <v>0.15</v>
      </c>
      <c r="AU127" s="14555">
        <f>IF(HLOOKUP("Mins",A1:CV300,127,FALSE)=0,0,HLOOKUP("Pts",A1:CV300,127,FALSE)/HLOOKUP("Mins",A1:CV300,127,FALSE)* 90)</f>
      </c>
      <c r="AV127" s="14556">
        <f>IF(HLOOKUP("Apps",A1:CV300,127,FALSE)=0,0,HLOOKUP("Pts",A1:CV300,127,FALSE)/HLOOKUP("Apps",A1:CV300,127,FALSE)* 1)</f>
      </c>
      <c r="AW127" s="14557">
        <f>IF(HLOOKUP("Mins",A1:CV300,127,FALSE)=0,0,HLOOKUP("Gs",A1:CV300,127,FALSE)/HLOOKUP("Mins",A1:CV300,127,FALSE)* 90)</f>
      </c>
      <c r="AX127" s="14558">
        <f>IF(HLOOKUP("Mins",A1:CV300,127,FALSE)=0,0,HLOOKUP("Bonus",A1:CV300,127,FALSE)/HLOOKUP("Mins",A1:CV300,127,FALSE)* 90)</f>
      </c>
      <c r="AY127" s="14559">
        <f>IF(HLOOKUP("Mins",A1:CV300,127,FALSE)=0,0,HLOOKUP("BPS",A1:CV300,127,FALSE)/HLOOKUP("Mins",A1:CV300,127,FALSE)* 90)</f>
      </c>
      <c r="AZ127" s="14560">
        <f>IF(HLOOKUP("Mins",A1:CV300,127,FALSE)=0,0,HLOOKUP("Base BPS",A1:CV300,127,FALSE)/HLOOKUP("Mins",A1:CV300,127,FALSE)* 90)</f>
      </c>
      <c r="BA127" s="14561">
        <f>IF(HLOOKUP("Mins",A1:CV300,127,FALSE)=0,0,HLOOKUP("PenTchs",A1:CV300,127,FALSE)/HLOOKUP("Mins",A1:CV300,127,FALSE)* 90)</f>
      </c>
      <c r="BB127" s="14562">
        <f>IF(HLOOKUP("Mins",A1:CV300,127,FALSE)=0,0,HLOOKUP("Shots",A1:CV300,127,FALSE)/HLOOKUP("Mins",A1:CV300,127,FALSE)* 90)</f>
      </c>
      <c r="BC127" s="14563">
        <f>IF(HLOOKUP("Mins",A1:CV300,127,FALSE)=0,0,HLOOKUP("SIB",A1:CV300,127,FALSE)/HLOOKUP("Mins",A1:CV300,127,FALSE)* 90)</f>
      </c>
      <c r="BD127" s="14564">
        <f>IF(HLOOKUP("Mins",A1:CV300,127,FALSE)=0,0,HLOOKUP("S6YD",A1:CV300,127,FALSE)/HLOOKUP("Mins",A1:CV300,127,FALSE)* 90)</f>
      </c>
      <c r="BE127" s="14565">
        <f>IF(HLOOKUP("Mins",A1:CV300,127,FALSE)=0,0,HLOOKUP("Headers",A1:CV300,127,FALSE)/HLOOKUP("Mins",A1:CV300,127,FALSE)* 90)</f>
      </c>
      <c r="BF127" s="14566">
        <f>IF(HLOOKUP("Mins",A1:CV300,127,FALSE)=0,0,HLOOKUP("SOT",A1:CV300,127,FALSE)/HLOOKUP("Mins",A1:CV300,127,FALSE)* 90)</f>
      </c>
      <c r="BG127" s="14567">
        <f>IF(HLOOKUP("Mins",A1:CV300,127,FALSE)=0,0,HLOOKUP("As",A1:CV300,127,FALSE)/HLOOKUP("Mins",A1:CV300,127,FALSE)* 90)</f>
      </c>
      <c r="BH127" s="14568">
        <f>IF(HLOOKUP("Mins",A1:CV300,127,FALSE)=0,0,HLOOKUP("FPL As",A1:CV300,127,FALSE)/HLOOKUP("Mins",A1:CV300,127,FALSE)* 90)</f>
      </c>
      <c r="BI127" s="14569">
        <f>IF(HLOOKUP("Mins",A1:CV300,127,FALSE)=0,0,HLOOKUP("BC Created",A1:CV300,127,FALSE)/HLOOKUP("Mins",A1:CV300,127,FALSE)* 90)</f>
      </c>
      <c r="BJ127" s="14570">
        <f>IF(HLOOKUP("Mins",A1:CV300,127,FALSE)=0,0,HLOOKUP("KP",A1:CV300,127,FALSE)/HLOOKUP("Mins",A1:CV300,127,FALSE)* 90)</f>
      </c>
      <c r="BK127" s="14571">
        <f>IF(HLOOKUP("Mins",A1:CV300,127,FALSE)=0,0,HLOOKUP("BC",A1:CV300,127,FALSE)/HLOOKUP("Mins",A1:CV300,127,FALSE)* 90)</f>
      </c>
      <c r="BL127" s="14572">
        <f>IF(HLOOKUP("Mins",A1:CV300,127,FALSE)=0,0,HLOOKUP("BC Miss",A1:CV300,127,FALSE)/HLOOKUP("Mins",A1:CV300,127,FALSE)* 90)</f>
      </c>
      <c r="BM127" s="14573">
        <f>IF(HLOOKUP("Mins",A1:CV300,127,FALSE)=0,0,HLOOKUP("Gs - BC",A1:CV300,127,FALSE)/HLOOKUP("Mins",A1:CV300,127,FALSE)* 90)</f>
      </c>
      <c r="BN127" s="14574">
        <f>IF(HLOOKUP("Mins",A1:CV300,127,FALSE)=0,0,HLOOKUP("GIB",A1:CV300,127,FALSE)/HLOOKUP("Mins",A1:CV300,127,FALSE)* 90)</f>
      </c>
      <c r="BO127" s="14575">
        <f>IF(HLOOKUP("Mins",A1:CV300,127,FALSE)=0,0,HLOOKUP("Gs - Open",A1:CV300,127,FALSE)/HLOOKUP("Mins",A1:CV300,127,FALSE)* 90)</f>
      </c>
      <c r="BP127" s="14576">
        <f>IF(HLOOKUP("Mins",A1:CV300,127,FALSE)=0,0,HLOOKUP("ICT Index",A1:CV300,127,FALSE)/HLOOKUP("Mins",A1:CV300,127,FALSE)* 90)</f>
      </c>
      <c r="BQ127" s="14577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</c>
      <c r="BR127" s="14578">
        <f>0.0825*HLOOKUP("KP/90",A1:CV300,127,FALSE)</f>
      </c>
      <c r="BS127" s="14579">
        <f>6*HLOOKUP("xG/90",A1:CV300,127,FALSE)+3*HLOOKUP("xA/90",A1:CV300,127,FALSE)</f>
      </c>
      <c r="BT127" s="14580">
        <f>HLOOKUP("xPts/90",A1:CV300,127,FALSE)-(6*0.75*(HLOOKUP("PK Gs",A1:CV300,127,FALSE)+HLOOKUP("PK Miss",A1:CV300,127,FALSE))*90/HLOOKUP("Mins",A1:CV300,127,FALSE))</f>
      </c>
      <c r="BU127" s="14581">
        <f>IF(HLOOKUP("Mins",A1:CV300,127,FALSE)=0,0,HLOOKUP("fsXG",A1:CV300,127,FALSE)/HLOOKUP("Mins",A1:CV300,127,FALSE)* 90)</f>
      </c>
      <c r="BV127" s="14582">
        <f>IF(HLOOKUP("Mins",A1:CV300,127,FALSE)=0,0,HLOOKUP("fsXA",A1:CV300,127,FALSE)/HLOOKUP("Mins",A1:CV300,127,FALSE)* 90)</f>
      </c>
      <c r="BW127" s="14583">
        <f>6*HLOOKUP("fsXG/90",A1:CV300,127,FALSE)+3*HLOOKUP("fsXA/90",A1:CV300,127,FALSE)</f>
      </c>
      <c r="BX127" t="n" s="14584">
        <v>0.033329498022794724</v>
      </c>
      <c r="BY127" t="n" s="14585">
        <v>0.048374298959970474</v>
      </c>
      <c r="BZ127" s="14586">
        <f>6*HLOOKUP("uXG/90",A1:CV300,127,FALSE)+3*HLOOKUP("uXA/90",A1:CV300,127,FALSE)</f>
      </c>
    </row>
    <row r="128">
      <c r="A128" t="s" s="14587">
        <v>284</v>
      </c>
      <c r="B128" t="s" s="14588">
        <v>100</v>
      </c>
      <c r="C128" t="n" s="14589">
        <v>4.199999809265137</v>
      </c>
      <c r="D128" t="n" s="14590">
        <v>148.0</v>
      </c>
      <c r="E128" t="n" s="14591">
        <v>4.0</v>
      </c>
      <c r="F128" t="n" s="14592">
        <v>15.0</v>
      </c>
      <c r="G128" t="n" s="14593">
        <v>0.0</v>
      </c>
      <c r="H128" t="n" s="14594">
        <v>0.0</v>
      </c>
      <c r="I128" t="n" s="14595">
        <v>77.0</v>
      </c>
      <c r="J128" s="14596">
        <f>HLOOKUP("BPS",A1:CV300,128,FALSE)-((-6*HLOOKUP("OG",A1:CV300,128,FALSE))+(-6*HLOOKUP("PK Miss",A1:CV300,128,FALSE))+(9*HLOOKUP("FPL As",A1:CV300,128,FALSE))+(12*HLOOKUP("CS",A1:CV300,128,FALSE))+(12*HLOOKUP("Gs",A1:CV300,128,FALSE)))</f>
      </c>
      <c r="K128" t="n" s="14597">
        <v>0.0</v>
      </c>
      <c r="L128" t="n" s="14598">
        <v>1.0</v>
      </c>
      <c r="M128" t="n" s="14599">
        <v>3.0</v>
      </c>
      <c r="N128" t="n" s="14600">
        <v>2.0</v>
      </c>
      <c r="O128" t="n" s="14601">
        <v>2.0</v>
      </c>
      <c r="P128" s="14602">
        <f>IF(HLOOKUP("Shots",A1:CV300,128,FALSE)=0,0,HLOOKUP("SIB",A1:CV300,128,FALSE)/HLOOKUP("Shots",A1:CV300,128,FALSE))</f>
      </c>
      <c r="Q128" t="n" s="14603">
        <v>0.0</v>
      </c>
      <c r="R128" s="14604">
        <f>IF(HLOOKUP("Shots",A1:CV300,128,FALSE)=0,0,HLOOKUP("S6YD",A1:CV300,128,FALSE)/HLOOKUP("Shots",A1:CV300,128,FALSE))</f>
      </c>
      <c r="S128" t="n" s="14605">
        <v>0.0</v>
      </c>
      <c r="T128" s="14606">
        <f>IF(HLOOKUP("Shots",A1:CV300,128,FALSE)=0,0,HLOOKUP("Headers",A1:CV300,128,FALSE)/HLOOKUP("Shots",A1:CV300,128,FALSE))</f>
      </c>
      <c r="U128" t="n" s="14607">
        <v>0.0</v>
      </c>
      <c r="V128" s="14608">
        <f>IF(HLOOKUP("Shots",A1:CV300,128,FALSE)=0,0,HLOOKUP("SOT",A1:CV300,128,FALSE)/HLOOKUP("Shots",A1:CV300,128,FALSE))</f>
      </c>
      <c r="W128" s="14609">
        <f>IF(HLOOKUP("Shots",A1:CV300,128,FALSE)=0,0,HLOOKUP("Gs",A1:CV300,128,FALSE)/HLOOKUP("Shots",A1:CV300,128,FALSE))</f>
      </c>
      <c r="X128" t="n" s="14610">
        <v>0.0</v>
      </c>
      <c r="Y128" t="n" s="14611">
        <v>0.0</v>
      </c>
      <c r="Z128" t="n" s="14612">
        <v>2.0</v>
      </c>
      <c r="AA128" s="14613">
        <f>IF(HLOOKUP("KP",A1:CV300,128,FALSE)=0,0,HLOOKUP("As",A1:CV300,128,FALSE)/HLOOKUP("KP",A1:CV300,128,FALSE))</f>
      </c>
      <c r="AB128" t="n" s="14614">
        <v>9.8</v>
      </c>
      <c r="AC128" t="n" s="14615">
        <v>0.0</v>
      </c>
      <c r="AD128" t="n" s="14616">
        <v>1.0</v>
      </c>
      <c r="AE128" t="n" s="14617">
        <v>0.0</v>
      </c>
      <c r="AF128" t="n" s="14618">
        <v>0.0</v>
      </c>
      <c r="AG128" s="14619">
        <f>IF(HLOOKUP("BC",A1:CV300,128,FALSE)=0,0,HLOOKUP("Gs - BC",A1:CV300,128,FALSE)/HLOOKUP("BC",A1:CV300,128,FALSE))</f>
      </c>
      <c r="AH128" s="14620">
        <f>HLOOKUP("BC",A1:CV300,128,FALSE) - HLOOKUP("BC Miss",A1:CV300,128,FALSE)</f>
      </c>
      <c r="AI128" s="14621">
        <f>IF(HLOOKUP("Gs",A1:CV300,128,FALSE)=0,0,HLOOKUP("Gs - BC",A1:CV300,128,FALSE)/HLOOKUP("Gs",A1:CV300,128,FALSE))</f>
      </c>
      <c r="AJ128" t="n" s="14622">
        <v>0.0</v>
      </c>
      <c r="AK128" t="n" s="14623">
        <v>0.0</v>
      </c>
      <c r="AL128" s="14624">
        <f>HLOOKUP("BC",A1:CV300,128,FALSE) - (HLOOKUP("PK Gs",A1:CV300,128,FALSE) + HLOOKUP("PK Miss",A1:CV300,128,FALSE))</f>
      </c>
      <c r="AM128" s="14625">
        <f>HLOOKUP("BC Miss",A1:CV300,128,FALSE) - HLOOKUP("PK Miss",A1:CV300,128,FALSE)</f>
      </c>
      <c r="AN128" s="14626">
        <f>IF(HLOOKUP("BC - Open",A1:CV300,128,FALSE)=0,0,HLOOKUP("BC - Open Miss",A1:CV300,128,FALSE)/HLOOKUP("BC - Open",A1:CV300,128,FALSE))</f>
      </c>
      <c r="AO128" t="n" s="14627">
        <v>0.0</v>
      </c>
      <c r="AP128" s="14628">
        <f>IF(HLOOKUP("Gs",A1:CV300,128,FALSE)=0,0,HLOOKUP("GIB",A1:CV300,128,FALSE)/HLOOKUP("Gs",A1:CV300,128,FALSE))</f>
      </c>
      <c r="AQ128" t="n" s="14629">
        <v>0.0</v>
      </c>
      <c r="AR128" s="14630">
        <f>IF(HLOOKUP("Gs",A1:CV300,128,FALSE)=0,0,HLOOKUP("Gs - Open",A1:CV300,128,FALSE)/HLOOKUP("Gs",A1:CV300,128,FALSE))</f>
      </c>
      <c r="AS128" t="n" s="14631">
        <v>0.11</v>
      </c>
      <c r="AT128" t="n" s="14632">
        <v>0.31</v>
      </c>
      <c r="AU128" s="14633">
        <f>IF(HLOOKUP("Mins",A1:CV300,128,FALSE)=0,0,HLOOKUP("Pts",A1:CV300,128,FALSE)/HLOOKUP("Mins",A1:CV300,128,FALSE)* 90)</f>
      </c>
      <c r="AV128" s="14634">
        <f>IF(HLOOKUP("Apps",A1:CV300,128,FALSE)=0,0,HLOOKUP("Pts",A1:CV300,128,FALSE)/HLOOKUP("Apps",A1:CV300,128,FALSE)* 1)</f>
      </c>
      <c r="AW128" s="14635">
        <f>IF(HLOOKUP("Mins",A1:CV300,128,FALSE)=0,0,HLOOKUP("Gs",A1:CV300,128,FALSE)/HLOOKUP("Mins",A1:CV300,128,FALSE)* 90)</f>
      </c>
      <c r="AX128" s="14636">
        <f>IF(HLOOKUP("Mins",A1:CV300,128,FALSE)=0,0,HLOOKUP("Bonus",A1:CV300,128,FALSE)/HLOOKUP("Mins",A1:CV300,128,FALSE)* 90)</f>
      </c>
      <c r="AY128" s="14637">
        <f>IF(HLOOKUP("Mins",A1:CV300,128,FALSE)=0,0,HLOOKUP("BPS",A1:CV300,128,FALSE)/HLOOKUP("Mins",A1:CV300,128,FALSE)* 90)</f>
      </c>
      <c r="AZ128" s="14638">
        <f>IF(HLOOKUP("Mins",A1:CV300,128,FALSE)=0,0,HLOOKUP("Base BPS",A1:CV300,128,FALSE)/HLOOKUP("Mins",A1:CV300,128,FALSE)* 90)</f>
      </c>
      <c r="BA128" s="14639">
        <f>IF(HLOOKUP("Mins",A1:CV300,128,FALSE)=0,0,HLOOKUP("PenTchs",A1:CV300,128,FALSE)/HLOOKUP("Mins",A1:CV300,128,FALSE)* 90)</f>
      </c>
      <c r="BB128" s="14640">
        <f>IF(HLOOKUP("Mins",A1:CV300,128,FALSE)=0,0,HLOOKUP("Shots",A1:CV300,128,FALSE)/HLOOKUP("Mins",A1:CV300,128,FALSE)* 90)</f>
      </c>
      <c r="BC128" s="14641">
        <f>IF(HLOOKUP("Mins",A1:CV300,128,FALSE)=0,0,HLOOKUP("SIB",A1:CV300,128,FALSE)/HLOOKUP("Mins",A1:CV300,128,FALSE)* 90)</f>
      </c>
      <c r="BD128" s="14642">
        <f>IF(HLOOKUP("Mins",A1:CV300,128,FALSE)=0,0,HLOOKUP("S6YD",A1:CV300,128,FALSE)/HLOOKUP("Mins",A1:CV300,128,FALSE)* 90)</f>
      </c>
      <c r="BE128" s="14643">
        <f>IF(HLOOKUP("Mins",A1:CV300,128,FALSE)=0,0,HLOOKUP("Headers",A1:CV300,128,FALSE)/HLOOKUP("Mins",A1:CV300,128,FALSE)* 90)</f>
      </c>
      <c r="BF128" s="14644">
        <f>IF(HLOOKUP("Mins",A1:CV300,128,FALSE)=0,0,HLOOKUP("SOT",A1:CV300,128,FALSE)/HLOOKUP("Mins",A1:CV300,128,FALSE)* 90)</f>
      </c>
      <c r="BG128" s="14645">
        <f>IF(HLOOKUP("Mins",A1:CV300,128,FALSE)=0,0,HLOOKUP("As",A1:CV300,128,FALSE)/HLOOKUP("Mins",A1:CV300,128,FALSE)* 90)</f>
      </c>
      <c r="BH128" s="14646">
        <f>IF(HLOOKUP("Mins",A1:CV300,128,FALSE)=0,0,HLOOKUP("FPL As",A1:CV300,128,FALSE)/HLOOKUP("Mins",A1:CV300,128,FALSE)* 90)</f>
      </c>
      <c r="BI128" s="14647">
        <f>IF(HLOOKUP("Mins",A1:CV300,128,FALSE)=0,0,HLOOKUP("BC Created",A1:CV300,128,FALSE)/HLOOKUP("Mins",A1:CV300,128,FALSE)* 90)</f>
      </c>
      <c r="BJ128" s="14648">
        <f>IF(HLOOKUP("Mins",A1:CV300,128,FALSE)=0,0,HLOOKUP("KP",A1:CV300,128,FALSE)/HLOOKUP("Mins",A1:CV300,128,FALSE)* 90)</f>
      </c>
      <c r="BK128" s="14649">
        <f>IF(HLOOKUP("Mins",A1:CV300,128,FALSE)=0,0,HLOOKUP("BC",A1:CV300,128,FALSE)/HLOOKUP("Mins",A1:CV300,128,FALSE)* 90)</f>
      </c>
      <c r="BL128" s="14650">
        <f>IF(HLOOKUP("Mins",A1:CV300,128,FALSE)=0,0,HLOOKUP("BC Miss",A1:CV300,128,FALSE)/HLOOKUP("Mins",A1:CV300,128,FALSE)* 90)</f>
      </c>
      <c r="BM128" s="14651">
        <f>IF(HLOOKUP("Mins",A1:CV300,128,FALSE)=0,0,HLOOKUP("Gs - BC",A1:CV300,128,FALSE)/HLOOKUP("Mins",A1:CV300,128,FALSE)* 90)</f>
      </c>
      <c r="BN128" s="14652">
        <f>IF(HLOOKUP("Mins",A1:CV300,128,FALSE)=0,0,HLOOKUP("GIB",A1:CV300,128,FALSE)/HLOOKUP("Mins",A1:CV300,128,FALSE)* 90)</f>
      </c>
      <c r="BO128" s="14653">
        <f>IF(HLOOKUP("Mins",A1:CV300,128,FALSE)=0,0,HLOOKUP("Gs - Open",A1:CV300,128,FALSE)/HLOOKUP("Mins",A1:CV300,128,FALSE)* 90)</f>
      </c>
      <c r="BP128" s="14654">
        <f>IF(HLOOKUP("Mins",A1:CV300,128,FALSE)=0,0,HLOOKUP("ICT Index",A1:CV300,128,FALSE)/HLOOKUP("Mins",A1:CV300,128,FALSE)* 90)</f>
      </c>
      <c r="BQ128" s="14655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</c>
      <c r="BR128" s="14656">
        <f>0.0825*HLOOKUP("KP/90",A1:CV300,128,FALSE)</f>
      </c>
      <c r="BS128" s="14657">
        <f>6*HLOOKUP("xG/90",A1:CV300,128,FALSE)+3*HLOOKUP("xA/90",A1:CV300,128,FALSE)</f>
      </c>
      <c r="BT128" s="14658">
        <f>HLOOKUP("xPts/90",A1:CV300,128,FALSE)-(6*0.75*(HLOOKUP("PK Gs",A1:CV300,128,FALSE)+HLOOKUP("PK Miss",A1:CV300,128,FALSE))*90/HLOOKUP("Mins",A1:CV300,128,FALSE))</f>
      </c>
      <c r="BU128" s="14659">
        <f>IF(HLOOKUP("Mins",A1:CV300,128,FALSE)=0,0,HLOOKUP("fsXG",A1:CV300,128,FALSE)/HLOOKUP("Mins",A1:CV300,128,FALSE)* 90)</f>
      </c>
      <c r="BV128" s="14660">
        <f>IF(HLOOKUP("Mins",A1:CV300,128,FALSE)=0,0,HLOOKUP("fsXA",A1:CV300,128,FALSE)/HLOOKUP("Mins",A1:CV300,128,FALSE)* 90)</f>
      </c>
      <c r="BW128" s="14661">
        <f>6*HLOOKUP("fsXG/90",A1:CV300,128,FALSE)+3*HLOOKUP("fsXA/90",A1:CV300,128,FALSE)</f>
      </c>
      <c r="BX128" t="n" s="14662">
        <v>0.06968987733125687</v>
      </c>
      <c r="BY128" t="n" s="14663">
        <v>0.24147562682628632</v>
      </c>
      <c r="BZ128" s="14664">
        <f>6*HLOOKUP("uXG/90",A1:CV300,128,FALSE)+3*HLOOKUP("uXA/90",A1:CV300,128,FALSE)</f>
      </c>
    </row>
    <row r="129">
      <c r="A129" t="s" s="14665">
        <v>285</v>
      </c>
      <c r="B129" t="s" s="14666">
        <v>87</v>
      </c>
      <c r="C129" t="n" s="14667">
        <v>4.400000095367432</v>
      </c>
      <c r="D129" t="n" s="14668">
        <v>294.0</v>
      </c>
      <c r="E129" t="n" s="14669">
        <v>4.0</v>
      </c>
      <c r="F129" t="n" s="14670">
        <v>43.0</v>
      </c>
      <c r="G129" t="n" s="14671">
        <v>0.0</v>
      </c>
      <c r="H129" t="n" s="14672">
        <v>2.0</v>
      </c>
      <c r="I129" t="n" s="14673">
        <v>240.0</v>
      </c>
      <c r="J129" s="14674">
        <f>HLOOKUP("BPS",A1:CV300,129,FALSE)-((-6*HLOOKUP("OG",A1:CV300,129,FALSE))+(-6*HLOOKUP("PK Miss",A1:CV300,129,FALSE))+(9*HLOOKUP("FPL As",A1:CV300,129,FALSE))+(12*HLOOKUP("CS",A1:CV300,129,FALSE))+(12*HLOOKUP("Gs",A1:CV300,129,FALSE)))</f>
      </c>
      <c r="K129" t="n" s="14675">
        <v>0.0</v>
      </c>
      <c r="L129" t="n" s="14676">
        <v>4.0</v>
      </c>
      <c r="M129" t="n" s="14677">
        <v>0.0</v>
      </c>
      <c r="N129" t="n" s="14678">
        <v>1.0</v>
      </c>
      <c r="O129" t="n" s="14679">
        <v>0.0</v>
      </c>
      <c r="P129" s="14680">
        <f>IF(HLOOKUP("Shots",A1:CV300,129,FALSE)=0,0,HLOOKUP("SIB",A1:CV300,129,FALSE)/HLOOKUP("Shots",A1:CV300,129,FALSE))</f>
      </c>
      <c r="Q129" t="n" s="14681">
        <v>0.0</v>
      </c>
      <c r="R129" s="14682">
        <f>IF(HLOOKUP("Shots",A1:CV300,129,FALSE)=0,0,HLOOKUP("S6YD",A1:CV300,129,FALSE)/HLOOKUP("Shots",A1:CV300,129,FALSE))</f>
      </c>
      <c r="S129" t="n" s="14683">
        <v>0.0</v>
      </c>
      <c r="T129" s="14684">
        <f>IF(HLOOKUP("Shots",A1:CV300,129,FALSE)=0,0,HLOOKUP("Headers",A1:CV300,129,FALSE)/HLOOKUP("Shots",A1:CV300,129,FALSE))</f>
      </c>
      <c r="U129" t="n" s="14685">
        <v>1.0</v>
      </c>
      <c r="V129" s="14686">
        <f>IF(HLOOKUP("Shots",A1:CV300,129,FALSE)=0,0,HLOOKUP("SOT",A1:CV300,129,FALSE)/HLOOKUP("Shots",A1:CV300,129,FALSE))</f>
      </c>
      <c r="W129" s="14687">
        <f>IF(HLOOKUP("Shots",A1:CV300,129,FALSE)=0,0,HLOOKUP("Gs",A1:CV300,129,FALSE)/HLOOKUP("Shots",A1:CV300,129,FALSE))</f>
      </c>
      <c r="X129" t="n" s="14688">
        <v>0.0</v>
      </c>
      <c r="Y129" t="n" s="14689">
        <v>2.0</v>
      </c>
      <c r="Z129" t="n" s="14690">
        <v>1.0</v>
      </c>
      <c r="AA129" s="14691">
        <f>IF(HLOOKUP("KP",A1:CV300,129,FALSE)=0,0,HLOOKUP("As",A1:CV300,129,FALSE)/HLOOKUP("KP",A1:CV300,129,FALSE))</f>
      </c>
      <c r="AB129" t="n" s="14692">
        <v>11.3</v>
      </c>
      <c r="AC129" t="n" s="14693">
        <v>0.0</v>
      </c>
      <c r="AD129" t="n" s="14694">
        <v>0.0</v>
      </c>
      <c r="AE129" t="n" s="14695">
        <v>0.0</v>
      </c>
      <c r="AF129" t="n" s="14696">
        <v>0.0</v>
      </c>
      <c r="AG129" s="14697">
        <f>IF(HLOOKUP("BC",A1:CV300,129,FALSE)=0,0,HLOOKUP("Gs - BC",A1:CV300,129,FALSE)/HLOOKUP("BC",A1:CV300,129,FALSE))</f>
      </c>
      <c r="AH129" s="14698">
        <f>HLOOKUP("BC",A1:CV300,129,FALSE) - HLOOKUP("BC Miss",A1:CV300,129,FALSE)</f>
      </c>
      <c r="AI129" s="14699">
        <f>IF(HLOOKUP("Gs",A1:CV300,129,FALSE)=0,0,HLOOKUP("Gs - BC",A1:CV300,129,FALSE)/HLOOKUP("Gs",A1:CV300,129,FALSE))</f>
      </c>
      <c r="AJ129" t="n" s="14700">
        <v>0.0</v>
      </c>
      <c r="AK129" t="n" s="14701">
        <v>0.0</v>
      </c>
      <c r="AL129" s="14702">
        <f>HLOOKUP("BC",A1:CV300,129,FALSE) - (HLOOKUP("PK Gs",A1:CV300,129,FALSE) + HLOOKUP("PK Miss",A1:CV300,129,FALSE))</f>
      </c>
      <c r="AM129" s="14703">
        <f>HLOOKUP("BC Miss",A1:CV300,129,FALSE) - HLOOKUP("PK Miss",A1:CV300,129,FALSE)</f>
      </c>
      <c r="AN129" s="14704">
        <f>IF(HLOOKUP("BC - Open",A1:CV300,129,FALSE)=0,0,HLOOKUP("BC - Open Miss",A1:CV300,129,FALSE)/HLOOKUP("BC - Open",A1:CV300,129,FALSE))</f>
      </c>
      <c r="AO129" t="n" s="14705">
        <v>0.0</v>
      </c>
      <c r="AP129" s="14706">
        <f>IF(HLOOKUP("Gs",A1:CV300,129,FALSE)=0,0,HLOOKUP("GIB",A1:CV300,129,FALSE)/HLOOKUP("Gs",A1:CV300,129,FALSE))</f>
      </c>
      <c r="AQ129" t="n" s="14707">
        <v>0.0</v>
      </c>
      <c r="AR129" s="14708">
        <f>IF(HLOOKUP("Gs",A1:CV300,129,FALSE)=0,0,HLOOKUP("Gs - Open",A1:CV300,129,FALSE)/HLOOKUP("Gs",A1:CV300,129,FALSE))</f>
      </c>
      <c r="AS129" t="n" s="14709">
        <v>0.03</v>
      </c>
      <c r="AT129" t="n" s="14710">
        <v>0.08</v>
      </c>
      <c r="AU129" s="14711">
        <f>IF(HLOOKUP("Mins",A1:CV300,129,FALSE)=0,0,HLOOKUP("Pts",A1:CV300,129,FALSE)/HLOOKUP("Mins",A1:CV300,129,FALSE)* 90)</f>
      </c>
      <c r="AV129" s="14712">
        <f>IF(HLOOKUP("Apps",A1:CV300,129,FALSE)=0,0,HLOOKUP("Pts",A1:CV300,129,FALSE)/HLOOKUP("Apps",A1:CV300,129,FALSE)* 1)</f>
      </c>
      <c r="AW129" s="14713">
        <f>IF(HLOOKUP("Mins",A1:CV300,129,FALSE)=0,0,HLOOKUP("Gs",A1:CV300,129,FALSE)/HLOOKUP("Mins",A1:CV300,129,FALSE)* 90)</f>
      </c>
      <c r="AX129" s="14714">
        <f>IF(HLOOKUP("Mins",A1:CV300,129,FALSE)=0,0,HLOOKUP("Bonus",A1:CV300,129,FALSE)/HLOOKUP("Mins",A1:CV300,129,FALSE)* 90)</f>
      </c>
      <c r="AY129" s="14715">
        <f>IF(HLOOKUP("Mins",A1:CV300,129,FALSE)=0,0,HLOOKUP("BPS",A1:CV300,129,FALSE)/HLOOKUP("Mins",A1:CV300,129,FALSE)* 90)</f>
      </c>
      <c r="AZ129" s="14716">
        <f>IF(HLOOKUP("Mins",A1:CV300,129,FALSE)=0,0,HLOOKUP("Base BPS",A1:CV300,129,FALSE)/HLOOKUP("Mins",A1:CV300,129,FALSE)* 90)</f>
      </c>
      <c r="BA129" s="14717">
        <f>IF(HLOOKUP("Mins",A1:CV300,129,FALSE)=0,0,HLOOKUP("PenTchs",A1:CV300,129,FALSE)/HLOOKUP("Mins",A1:CV300,129,FALSE)* 90)</f>
      </c>
      <c r="BB129" s="14718">
        <f>IF(HLOOKUP("Mins",A1:CV300,129,FALSE)=0,0,HLOOKUP("Shots",A1:CV300,129,FALSE)/HLOOKUP("Mins",A1:CV300,129,FALSE)* 90)</f>
      </c>
      <c r="BC129" s="14719">
        <f>IF(HLOOKUP("Mins",A1:CV300,129,FALSE)=0,0,HLOOKUP("SIB",A1:CV300,129,FALSE)/HLOOKUP("Mins",A1:CV300,129,FALSE)* 90)</f>
      </c>
      <c r="BD129" s="14720">
        <f>IF(HLOOKUP("Mins",A1:CV300,129,FALSE)=0,0,HLOOKUP("S6YD",A1:CV300,129,FALSE)/HLOOKUP("Mins",A1:CV300,129,FALSE)* 90)</f>
      </c>
      <c r="BE129" s="14721">
        <f>IF(HLOOKUP("Mins",A1:CV300,129,FALSE)=0,0,HLOOKUP("Headers",A1:CV300,129,FALSE)/HLOOKUP("Mins",A1:CV300,129,FALSE)* 90)</f>
      </c>
      <c r="BF129" s="14722">
        <f>IF(HLOOKUP("Mins",A1:CV300,129,FALSE)=0,0,HLOOKUP("SOT",A1:CV300,129,FALSE)/HLOOKUP("Mins",A1:CV300,129,FALSE)* 90)</f>
      </c>
      <c r="BG129" s="14723">
        <f>IF(HLOOKUP("Mins",A1:CV300,129,FALSE)=0,0,HLOOKUP("As",A1:CV300,129,FALSE)/HLOOKUP("Mins",A1:CV300,129,FALSE)* 90)</f>
      </c>
      <c r="BH129" s="14724">
        <f>IF(HLOOKUP("Mins",A1:CV300,129,FALSE)=0,0,HLOOKUP("FPL As",A1:CV300,129,FALSE)/HLOOKUP("Mins",A1:CV300,129,FALSE)* 90)</f>
      </c>
      <c r="BI129" s="14725">
        <f>IF(HLOOKUP("Mins",A1:CV300,129,FALSE)=0,0,HLOOKUP("BC Created",A1:CV300,129,FALSE)/HLOOKUP("Mins",A1:CV300,129,FALSE)* 90)</f>
      </c>
      <c r="BJ129" s="14726">
        <f>IF(HLOOKUP("Mins",A1:CV300,129,FALSE)=0,0,HLOOKUP("KP",A1:CV300,129,FALSE)/HLOOKUP("Mins",A1:CV300,129,FALSE)* 90)</f>
      </c>
      <c r="BK129" s="14727">
        <f>IF(HLOOKUP("Mins",A1:CV300,129,FALSE)=0,0,HLOOKUP("BC",A1:CV300,129,FALSE)/HLOOKUP("Mins",A1:CV300,129,FALSE)* 90)</f>
      </c>
      <c r="BL129" s="14728">
        <f>IF(HLOOKUP("Mins",A1:CV300,129,FALSE)=0,0,HLOOKUP("BC Miss",A1:CV300,129,FALSE)/HLOOKUP("Mins",A1:CV300,129,FALSE)* 90)</f>
      </c>
      <c r="BM129" s="14729">
        <f>IF(HLOOKUP("Mins",A1:CV300,129,FALSE)=0,0,HLOOKUP("Gs - BC",A1:CV300,129,FALSE)/HLOOKUP("Mins",A1:CV300,129,FALSE)* 90)</f>
      </c>
      <c r="BN129" s="14730">
        <f>IF(HLOOKUP("Mins",A1:CV300,129,FALSE)=0,0,HLOOKUP("GIB",A1:CV300,129,FALSE)/HLOOKUP("Mins",A1:CV300,129,FALSE)* 90)</f>
      </c>
      <c r="BO129" s="14731">
        <f>IF(HLOOKUP("Mins",A1:CV300,129,FALSE)=0,0,HLOOKUP("Gs - Open",A1:CV300,129,FALSE)/HLOOKUP("Mins",A1:CV300,129,FALSE)* 90)</f>
      </c>
      <c r="BP129" s="14732">
        <f>IF(HLOOKUP("Mins",A1:CV300,129,FALSE)=0,0,HLOOKUP("ICT Index",A1:CV300,129,FALSE)/HLOOKUP("Mins",A1:CV300,129,FALSE)* 90)</f>
      </c>
      <c r="BQ129" s="14733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</c>
      <c r="BR129" s="14734">
        <f>0.0825*HLOOKUP("KP/90",A1:CV300,129,FALSE)</f>
      </c>
      <c r="BS129" s="14735">
        <f>6*HLOOKUP("xG/90",A1:CV300,129,FALSE)+3*HLOOKUP("xA/90",A1:CV300,129,FALSE)</f>
      </c>
      <c r="BT129" s="14736">
        <f>HLOOKUP("xPts/90",A1:CV300,129,FALSE)-(6*0.75*(HLOOKUP("PK Gs",A1:CV300,129,FALSE)+HLOOKUP("PK Miss",A1:CV300,129,FALSE))*90/HLOOKUP("Mins",A1:CV300,129,FALSE))</f>
      </c>
      <c r="BU129" s="14737">
        <f>IF(HLOOKUP("Mins",A1:CV300,129,FALSE)=0,0,HLOOKUP("fsXG",A1:CV300,129,FALSE)/HLOOKUP("Mins",A1:CV300,129,FALSE)* 90)</f>
      </c>
      <c r="BV129" s="14738">
        <f>IF(HLOOKUP("Mins",A1:CV300,129,FALSE)=0,0,HLOOKUP("fsXA",A1:CV300,129,FALSE)/HLOOKUP("Mins",A1:CV300,129,FALSE)* 90)</f>
      </c>
      <c r="BW129" s="14739">
        <f>6*HLOOKUP("fsXG/90",A1:CV300,129,FALSE)+3*HLOOKUP("fsXA/90",A1:CV300,129,FALSE)</f>
      </c>
      <c r="BX129" t="n" s="14740">
        <v>0.005118276458233595</v>
      </c>
      <c r="BY129" t="n" s="14741">
        <v>0.005174655467271805</v>
      </c>
      <c r="BZ129" s="14742">
        <f>6*HLOOKUP("uXG/90",A1:CV300,129,FALSE)+3*HLOOKUP("uXA/90",A1:CV300,129,FALSE)</f>
      </c>
    </row>
    <row r="130">
      <c r="A130" t="s" s="14743">
        <v>286</v>
      </c>
      <c r="B130" t="s" s="14744">
        <v>127</v>
      </c>
      <c r="C130" t="n" s="14745">
        <v>6.400000095367432</v>
      </c>
      <c r="D130" t="n" s="14746">
        <v>450.0</v>
      </c>
      <c r="E130" t="n" s="14747">
        <v>5.0</v>
      </c>
      <c r="F130" t="n" s="14748">
        <v>98.0</v>
      </c>
      <c r="G130" t="n" s="14749">
        <v>0.0</v>
      </c>
      <c r="H130" t="n" s="14750">
        <v>8.0</v>
      </c>
      <c r="I130" t="n" s="14751">
        <v>436.0</v>
      </c>
      <c r="J130" s="14752">
        <f>HLOOKUP("BPS",A1:CV300,130,FALSE)-((-6*HLOOKUP("OG",A1:CV300,130,FALSE))+(-6*HLOOKUP("PK Miss",A1:CV300,130,FALSE))+(9*HLOOKUP("FPL As",A1:CV300,130,FALSE))+(12*HLOOKUP("CS",A1:CV300,130,FALSE))+(12*HLOOKUP("Gs",A1:CV300,130,FALSE)))</f>
      </c>
      <c r="K130" t="n" s="14753">
        <v>0.0</v>
      </c>
      <c r="L130" t="n" s="14754">
        <v>8.0</v>
      </c>
      <c r="M130" t="n" s="14755">
        <v>1.0</v>
      </c>
      <c r="N130" t="n" s="14756">
        <v>1.0</v>
      </c>
      <c r="O130" t="n" s="14757">
        <v>1.0</v>
      </c>
      <c r="P130" s="14758">
        <f>IF(HLOOKUP("Shots",A1:CV300,130,FALSE)=0,0,HLOOKUP("SIB",A1:CV300,130,FALSE)/HLOOKUP("Shots",A1:CV300,130,FALSE))</f>
      </c>
      <c r="Q130" t="n" s="14759">
        <v>1.0</v>
      </c>
      <c r="R130" s="14760">
        <f>IF(HLOOKUP("Shots",A1:CV300,130,FALSE)=0,0,HLOOKUP("S6YD",A1:CV300,130,FALSE)/HLOOKUP("Shots",A1:CV300,130,FALSE))</f>
      </c>
      <c r="S130" t="n" s="14761">
        <v>1.0</v>
      </c>
      <c r="T130" s="14762">
        <f>IF(HLOOKUP("Shots",A1:CV300,130,FALSE)=0,0,HLOOKUP("Headers",A1:CV300,130,FALSE)/HLOOKUP("Shots",A1:CV300,130,FALSE))</f>
      </c>
      <c r="U130" t="n" s="14763">
        <v>1.0</v>
      </c>
      <c r="V130" s="14764">
        <f>IF(HLOOKUP("Shots",A1:CV300,130,FALSE)=0,0,HLOOKUP("SOT",A1:CV300,130,FALSE)/HLOOKUP("Shots",A1:CV300,130,FALSE))</f>
      </c>
      <c r="W130" s="14765">
        <f>IF(HLOOKUP("Shots",A1:CV300,130,FALSE)=0,0,HLOOKUP("Gs",A1:CV300,130,FALSE)/HLOOKUP("Shots",A1:CV300,130,FALSE))</f>
      </c>
      <c r="X130" t="n" s="14766">
        <v>0.0</v>
      </c>
      <c r="Y130" t="n" s="14767">
        <v>0.0</v>
      </c>
      <c r="Z130" t="n" s="14768">
        <v>0.0</v>
      </c>
      <c r="AA130" s="14769">
        <f>IF(HLOOKUP("KP",A1:CV300,130,FALSE)=0,0,HLOOKUP("As",A1:CV300,130,FALSE)/HLOOKUP("KP",A1:CV300,130,FALSE))</f>
      </c>
      <c r="AB130" t="n" s="14770">
        <v>14.4</v>
      </c>
      <c r="AC130" t="n" s="14771">
        <v>0.0</v>
      </c>
      <c r="AD130" t="n" s="14772">
        <v>0.0</v>
      </c>
      <c r="AE130" t="n" s="14773">
        <v>1.0</v>
      </c>
      <c r="AF130" t="n" s="14774">
        <v>1.0</v>
      </c>
      <c r="AG130" s="14775">
        <f>IF(HLOOKUP("BC",A1:CV300,130,FALSE)=0,0,HLOOKUP("Gs - BC",A1:CV300,130,FALSE)/HLOOKUP("BC",A1:CV300,130,FALSE))</f>
      </c>
      <c r="AH130" s="14776">
        <f>HLOOKUP("BC",A1:CV300,130,FALSE) - HLOOKUP("BC Miss",A1:CV300,130,FALSE)</f>
      </c>
      <c r="AI130" s="14777">
        <f>IF(HLOOKUP("Gs",A1:CV300,130,FALSE)=0,0,HLOOKUP("Gs - BC",A1:CV300,130,FALSE)/HLOOKUP("Gs",A1:CV300,130,FALSE))</f>
      </c>
      <c r="AJ130" t="n" s="14778">
        <v>0.0</v>
      </c>
      <c r="AK130" t="n" s="14779">
        <v>0.0</v>
      </c>
      <c r="AL130" s="14780">
        <f>HLOOKUP("BC",A1:CV300,130,FALSE) - (HLOOKUP("PK Gs",A1:CV300,130,FALSE) + HLOOKUP("PK Miss",A1:CV300,130,FALSE))</f>
      </c>
      <c r="AM130" s="14781">
        <f>HLOOKUP("BC Miss",A1:CV300,130,FALSE) - HLOOKUP("PK Miss",A1:CV300,130,FALSE)</f>
      </c>
      <c r="AN130" s="14782">
        <f>IF(HLOOKUP("BC - Open",A1:CV300,130,FALSE)=0,0,HLOOKUP("BC - Open Miss",A1:CV300,130,FALSE)/HLOOKUP("BC - Open",A1:CV300,130,FALSE))</f>
      </c>
      <c r="AO130" t="n" s="14783">
        <v>0.0</v>
      </c>
      <c r="AP130" s="14784">
        <f>IF(HLOOKUP("Gs",A1:CV300,130,FALSE)=0,0,HLOOKUP("GIB",A1:CV300,130,FALSE)/HLOOKUP("Gs",A1:CV300,130,FALSE))</f>
      </c>
      <c r="AQ130" t="n" s="14785">
        <v>0.0</v>
      </c>
      <c r="AR130" s="14786">
        <f>IF(HLOOKUP("Gs",A1:CV300,130,FALSE)=0,0,HLOOKUP("Gs - Open",A1:CV300,130,FALSE)/HLOOKUP("Gs",A1:CV300,130,FALSE))</f>
      </c>
      <c r="AS130" t="n" s="14787">
        <v>0.18</v>
      </c>
      <c r="AT130" t="n" s="14788">
        <v>0.27</v>
      </c>
      <c r="AU130" s="14789">
        <f>IF(HLOOKUP("Mins",A1:CV300,130,FALSE)=0,0,HLOOKUP("Pts",A1:CV300,130,FALSE)/HLOOKUP("Mins",A1:CV300,130,FALSE)* 90)</f>
      </c>
      <c r="AV130" s="14790">
        <f>IF(HLOOKUP("Apps",A1:CV300,130,FALSE)=0,0,HLOOKUP("Pts",A1:CV300,130,FALSE)/HLOOKUP("Apps",A1:CV300,130,FALSE)* 1)</f>
      </c>
      <c r="AW130" s="14791">
        <f>IF(HLOOKUP("Mins",A1:CV300,130,FALSE)=0,0,HLOOKUP("Gs",A1:CV300,130,FALSE)/HLOOKUP("Mins",A1:CV300,130,FALSE)* 90)</f>
      </c>
      <c r="AX130" s="14792">
        <f>IF(HLOOKUP("Mins",A1:CV300,130,FALSE)=0,0,HLOOKUP("Bonus",A1:CV300,130,FALSE)/HLOOKUP("Mins",A1:CV300,130,FALSE)* 90)</f>
      </c>
      <c r="AY130" s="14793">
        <f>IF(HLOOKUP("Mins",A1:CV300,130,FALSE)=0,0,HLOOKUP("BPS",A1:CV300,130,FALSE)/HLOOKUP("Mins",A1:CV300,130,FALSE)* 90)</f>
      </c>
      <c r="AZ130" s="14794">
        <f>IF(HLOOKUP("Mins",A1:CV300,130,FALSE)=0,0,HLOOKUP("Base BPS",A1:CV300,130,FALSE)/HLOOKUP("Mins",A1:CV300,130,FALSE)* 90)</f>
      </c>
      <c r="BA130" s="14795">
        <f>IF(HLOOKUP("Mins",A1:CV300,130,FALSE)=0,0,HLOOKUP("PenTchs",A1:CV300,130,FALSE)/HLOOKUP("Mins",A1:CV300,130,FALSE)* 90)</f>
      </c>
      <c r="BB130" s="14796">
        <f>IF(HLOOKUP("Mins",A1:CV300,130,FALSE)=0,0,HLOOKUP("Shots",A1:CV300,130,FALSE)/HLOOKUP("Mins",A1:CV300,130,FALSE)* 90)</f>
      </c>
      <c r="BC130" s="14797">
        <f>IF(HLOOKUP("Mins",A1:CV300,130,FALSE)=0,0,HLOOKUP("SIB",A1:CV300,130,FALSE)/HLOOKUP("Mins",A1:CV300,130,FALSE)* 90)</f>
      </c>
      <c r="BD130" s="14798">
        <f>IF(HLOOKUP("Mins",A1:CV300,130,FALSE)=0,0,HLOOKUP("S6YD",A1:CV300,130,FALSE)/HLOOKUP("Mins",A1:CV300,130,FALSE)* 90)</f>
      </c>
      <c r="BE130" s="14799">
        <f>IF(HLOOKUP("Mins",A1:CV300,130,FALSE)=0,0,HLOOKUP("Headers",A1:CV300,130,FALSE)/HLOOKUP("Mins",A1:CV300,130,FALSE)* 90)</f>
      </c>
      <c r="BF130" s="14800">
        <f>IF(HLOOKUP("Mins",A1:CV300,130,FALSE)=0,0,HLOOKUP("SOT",A1:CV300,130,FALSE)/HLOOKUP("Mins",A1:CV300,130,FALSE)* 90)</f>
      </c>
      <c r="BG130" s="14801">
        <f>IF(HLOOKUP("Mins",A1:CV300,130,FALSE)=0,0,HLOOKUP("As",A1:CV300,130,FALSE)/HLOOKUP("Mins",A1:CV300,130,FALSE)* 90)</f>
      </c>
      <c r="BH130" s="14802">
        <f>IF(HLOOKUP("Mins",A1:CV300,130,FALSE)=0,0,HLOOKUP("FPL As",A1:CV300,130,FALSE)/HLOOKUP("Mins",A1:CV300,130,FALSE)* 90)</f>
      </c>
      <c r="BI130" s="14803">
        <f>IF(HLOOKUP("Mins",A1:CV300,130,FALSE)=0,0,HLOOKUP("BC Created",A1:CV300,130,FALSE)/HLOOKUP("Mins",A1:CV300,130,FALSE)* 90)</f>
      </c>
      <c r="BJ130" s="14804">
        <f>IF(HLOOKUP("Mins",A1:CV300,130,FALSE)=0,0,HLOOKUP("KP",A1:CV300,130,FALSE)/HLOOKUP("Mins",A1:CV300,130,FALSE)* 90)</f>
      </c>
      <c r="BK130" s="14805">
        <f>IF(HLOOKUP("Mins",A1:CV300,130,FALSE)=0,0,HLOOKUP("BC",A1:CV300,130,FALSE)/HLOOKUP("Mins",A1:CV300,130,FALSE)* 90)</f>
      </c>
      <c r="BL130" s="14806">
        <f>IF(HLOOKUP("Mins",A1:CV300,130,FALSE)=0,0,HLOOKUP("BC Miss",A1:CV300,130,FALSE)/HLOOKUP("Mins",A1:CV300,130,FALSE)* 90)</f>
      </c>
      <c r="BM130" s="14807">
        <f>IF(HLOOKUP("Mins",A1:CV300,130,FALSE)=0,0,HLOOKUP("Gs - BC",A1:CV300,130,FALSE)/HLOOKUP("Mins",A1:CV300,130,FALSE)* 90)</f>
      </c>
      <c r="BN130" s="14808">
        <f>IF(HLOOKUP("Mins",A1:CV300,130,FALSE)=0,0,HLOOKUP("GIB",A1:CV300,130,FALSE)/HLOOKUP("Mins",A1:CV300,130,FALSE)* 90)</f>
      </c>
      <c r="BO130" s="14809">
        <f>IF(HLOOKUP("Mins",A1:CV300,130,FALSE)=0,0,HLOOKUP("Gs - Open",A1:CV300,130,FALSE)/HLOOKUP("Mins",A1:CV300,130,FALSE)* 90)</f>
      </c>
      <c r="BP130" s="14810">
        <f>IF(HLOOKUP("Mins",A1:CV300,130,FALSE)=0,0,HLOOKUP("ICT Index",A1:CV300,130,FALSE)/HLOOKUP("Mins",A1:CV300,130,FALSE)* 90)</f>
      </c>
      <c r="BQ130" s="14811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</c>
      <c r="BR130" s="14812">
        <f>0.0825*HLOOKUP("KP/90",A1:CV300,130,FALSE)</f>
      </c>
      <c r="BS130" s="14813">
        <f>6*HLOOKUP("xG/90",A1:CV300,130,FALSE)+3*HLOOKUP("xA/90",A1:CV300,130,FALSE)</f>
      </c>
      <c r="BT130" s="14814">
        <f>HLOOKUP("xPts/90",A1:CV300,130,FALSE)-(6*0.75*(HLOOKUP("PK Gs",A1:CV300,130,FALSE)+HLOOKUP("PK Miss",A1:CV300,130,FALSE))*90/HLOOKUP("Mins",A1:CV300,130,FALSE))</f>
      </c>
      <c r="BU130" s="14815">
        <f>IF(HLOOKUP("Mins",A1:CV300,130,FALSE)=0,0,HLOOKUP("fsXG",A1:CV300,130,FALSE)/HLOOKUP("Mins",A1:CV300,130,FALSE)* 90)</f>
      </c>
      <c r="BV130" s="14816">
        <f>IF(HLOOKUP("Mins",A1:CV300,130,FALSE)=0,0,HLOOKUP("fsXA",A1:CV300,130,FALSE)/HLOOKUP("Mins",A1:CV300,130,FALSE)* 90)</f>
      </c>
      <c r="BW130" s="14817">
        <f>6*HLOOKUP("fsXG/90",A1:CV300,130,FALSE)+3*HLOOKUP("fsXA/90",A1:CV300,130,FALSE)</f>
      </c>
      <c r="BX130" t="n" s="14818">
        <v>0.08347325026988983</v>
      </c>
      <c r="BY130" t="n" s="14819">
        <v>0.0</v>
      </c>
      <c r="BZ130" s="14820">
        <f>6*HLOOKUP("uXG/90",A1:CV300,130,FALSE)+3*HLOOKUP("uXA/90",A1:CV300,130,FALSE)</f>
      </c>
    </row>
    <row r="131">
      <c r="A131" t="s" s="14821">
        <v>287</v>
      </c>
      <c r="B131" t="s" s="14822">
        <v>92</v>
      </c>
      <c r="C131" t="n" s="14823">
        <v>4.400000095367432</v>
      </c>
      <c r="D131" t="n" s="14824">
        <v>360.0</v>
      </c>
      <c r="E131" t="n" s="14825">
        <v>4.0</v>
      </c>
      <c r="F131" t="n" s="14826">
        <v>11.0</v>
      </c>
      <c r="G131" t="n" s="14827">
        <v>0.0</v>
      </c>
      <c r="H131" t="n" s="14828">
        <v>1.0</v>
      </c>
      <c r="I131" t="n" s="14829">
        <v>98.0</v>
      </c>
      <c r="J131" s="14830">
        <f>HLOOKUP("BPS",A1:CV300,131,FALSE)-((-6*HLOOKUP("OG",A1:CV300,131,FALSE))+(-6*HLOOKUP("PK Miss",A1:CV300,131,FALSE))+(9*HLOOKUP("FPL As",A1:CV300,131,FALSE))+(12*HLOOKUP("CS",A1:CV300,131,FALSE))+(12*HLOOKUP("Gs",A1:CV300,131,FALSE)))</f>
      </c>
      <c r="K131" t="n" s="14831">
        <v>0.0</v>
      </c>
      <c r="L131" t="n" s="14832">
        <v>1.0</v>
      </c>
      <c r="M131" t="n" s="14833">
        <v>2.0</v>
      </c>
      <c r="N131" t="n" s="14834">
        <v>1.0</v>
      </c>
      <c r="O131" t="n" s="14835">
        <v>1.0</v>
      </c>
      <c r="P131" s="14836">
        <f>IF(HLOOKUP("Shots",A1:CV300,131,FALSE)=0,0,HLOOKUP("SIB",A1:CV300,131,FALSE)/HLOOKUP("Shots",A1:CV300,131,FALSE))</f>
      </c>
      <c r="Q131" t="n" s="14837">
        <v>0.0</v>
      </c>
      <c r="R131" s="14838">
        <f>IF(HLOOKUP("Shots",A1:CV300,131,FALSE)=0,0,HLOOKUP("S6YD",A1:CV300,131,FALSE)/HLOOKUP("Shots",A1:CV300,131,FALSE))</f>
      </c>
      <c r="S131" t="n" s="14839">
        <v>1.0</v>
      </c>
      <c r="T131" s="14840">
        <f>IF(HLOOKUP("Shots",A1:CV300,131,FALSE)=0,0,HLOOKUP("Headers",A1:CV300,131,FALSE)/HLOOKUP("Shots",A1:CV300,131,FALSE))</f>
      </c>
      <c r="U131" t="n" s="14841">
        <v>0.0</v>
      </c>
      <c r="V131" s="14842">
        <f>IF(HLOOKUP("Shots",A1:CV300,131,FALSE)=0,0,HLOOKUP("SOT",A1:CV300,131,FALSE)/HLOOKUP("Shots",A1:CV300,131,FALSE))</f>
      </c>
      <c r="W131" s="14843">
        <f>IF(HLOOKUP("Shots",A1:CV300,131,FALSE)=0,0,HLOOKUP("Gs",A1:CV300,131,FALSE)/HLOOKUP("Shots",A1:CV300,131,FALSE))</f>
      </c>
      <c r="X131" t="n" s="14844">
        <v>0.0</v>
      </c>
      <c r="Y131" t="n" s="14845">
        <v>0.0</v>
      </c>
      <c r="Z131" t="n" s="14846">
        <v>1.0</v>
      </c>
      <c r="AA131" s="14847">
        <f>IF(HLOOKUP("KP",A1:CV300,131,FALSE)=0,0,HLOOKUP("As",A1:CV300,131,FALSE)/HLOOKUP("KP",A1:CV300,131,FALSE))</f>
      </c>
      <c r="AB131" t="n" s="14848">
        <v>12.3</v>
      </c>
      <c r="AC131" t="n" s="14849">
        <v>0.0</v>
      </c>
      <c r="AD131" t="n" s="14850">
        <v>0.0</v>
      </c>
      <c r="AE131" t="n" s="14851">
        <v>0.0</v>
      </c>
      <c r="AF131" t="n" s="14852">
        <v>0.0</v>
      </c>
      <c r="AG131" s="14853">
        <f>IF(HLOOKUP("BC",A1:CV300,131,FALSE)=0,0,HLOOKUP("Gs - BC",A1:CV300,131,FALSE)/HLOOKUP("BC",A1:CV300,131,FALSE))</f>
      </c>
      <c r="AH131" s="14854">
        <f>HLOOKUP("BC",A1:CV300,131,FALSE) - HLOOKUP("BC Miss",A1:CV300,131,FALSE)</f>
      </c>
      <c r="AI131" s="14855">
        <f>IF(HLOOKUP("Gs",A1:CV300,131,FALSE)=0,0,HLOOKUP("Gs - BC",A1:CV300,131,FALSE)/HLOOKUP("Gs",A1:CV300,131,FALSE))</f>
      </c>
      <c r="AJ131" t="n" s="14856">
        <v>0.0</v>
      </c>
      <c r="AK131" t="n" s="14857">
        <v>0.0</v>
      </c>
      <c r="AL131" s="14858">
        <f>HLOOKUP("BC",A1:CV300,131,FALSE) - (HLOOKUP("PK Gs",A1:CV300,131,FALSE) + HLOOKUP("PK Miss",A1:CV300,131,FALSE))</f>
      </c>
      <c r="AM131" s="14859">
        <f>HLOOKUP("BC Miss",A1:CV300,131,FALSE) - HLOOKUP("PK Miss",A1:CV300,131,FALSE)</f>
      </c>
      <c r="AN131" s="14860">
        <f>IF(HLOOKUP("BC - Open",A1:CV300,131,FALSE)=0,0,HLOOKUP("BC - Open Miss",A1:CV300,131,FALSE)/HLOOKUP("BC - Open",A1:CV300,131,FALSE))</f>
      </c>
      <c r="AO131" t="n" s="14861">
        <v>0.0</v>
      </c>
      <c r="AP131" s="14862">
        <f>IF(HLOOKUP("Gs",A1:CV300,131,FALSE)=0,0,HLOOKUP("GIB",A1:CV300,131,FALSE)/HLOOKUP("Gs",A1:CV300,131,FALSE))</f>
      </c>
      <c r="AQ131" t="n" s="14863">
        <v>0.0</v>
      </c>
      <c r="AR131" s="14864">
        <f>IF(HLOOKUP("Gs",A1:CV300,131,FALSE)=0,0,HLOOKUP("Gs - Open",A1:CV300,131,FALSE)/HLOOKUP("Gs",A1:CV300,131,FALSE))</f>
      </c>
      <c r="AS131" t="n" s="14865">
        <v>0.04</v>
      </c>
      <c r="AT131" t="n" s="14866">
        <v>0.03</v>
      </c>
      <c r="AU131" s="14867">
        <f>IF(HLOOKUP("Mins",A1:CV300,131,FALSE)=0,0,HLOOKUP("Pts",A1:CV300,131,FALSE)/HLOOKUP("Mins",A1:CV300,131,FALSE)* 90)</f>
      </c>
      <c r="AV131" s="14868">
        <f>IF(HLOOKUP("Apps",A1:CV300,131,FALSE)=0,0,HLOOKUP("Pts",A1:CV300,131,FALSE)/HLOOKUP("Apps",A1:CV300,131,FALSE)* 1)</f>
      </c>
      <c r="AW131" s="14869">
        <f>IF(HLOOKUP("Mins",A1:CV300,131,FALSE)=0,0,HLOOKUP("Gs",A1:CV300,131,FALSE)/HLOOKUP("Mins",A1:CV300,131,FALSE)* 90)</f>
      </c>
      <c r="AX131" s="14870">
        <f>IF(HLOOKUP("Mins",A1:CV300,131,FALSE)=0,0,HLOOKUP("Bonus",A1:CV300,131,FALSE)/HLOOKUP("Mins",A1:CV300,131,FALSE)* 90)</f>
      </c>
      <c r="AY131" s="14871">
        <f>IF(HLOOKUP("Mins",A1:CV300,131,FALSE)=0,0,HLOOKUP("BPS",A1:CV300,131,FALSE)/HLOOKUP("Mins",A1:CV300,131,FALSE)* 90)</f>
      </c>
      <c r="AZ131" s="14872">
        <f>IF(HLOOKUP("Mins",A1:CV300,131,FALSE)=0,0,HLOOKUP("Base BPS",A1:CV300,131,FALSE)/HLOOKUP("Mins",A1:CV300,131,FALSE)* 90)</f>
      </c>
      <c r="BA131" s="14873">
        <f>IF(HLOOKUP("Mins",A1:CV300,131,FALSE)=0,0,HLOOKUP("PenTchs",A1:CV300,131,FALSE)/HLOOKUP("Mins",A1:CV300,131,FALSE)* 90)</f>
      </c>
      <c r="BB131" s="14874">
        <f>IF(HLOOKUP("Mins",A1:CV300,131,FALSE)=0,0,HLOOKUP("Shots",A1:CV300,131,FALSE)/HLOOKUP("Mins",A1:CV300,131,FALSE)* 90)</f>
      </c>
      <c r="BC131" s="14875">
        <f>IF(HLOOKUP("Mins",A1:CV300,131,FALSE)=0,0,HLOOKUP("SIB",A1:CV300,131,FALSE)/HLOOKUP("Mins",A1:CV300,131,FALSE)* 90)</f>
      </c>
      <c r="BD131" s="14876">
        <f>IF(HLOOKUP("Mins",A1:CV300,131,FALSE)=0,0,HLOOKUP("S6YD",A1:CV300,131,FALSE)/HLOOKUP("Mins",A1:CV300,131,FALSE)* 90)</f>
      </c>
      <c r="BE131" s="14877">
        <f>IF(HLOOKUP("Mins",A1:CV300,131,FALSE)=0,0,HLOOKUP("Headers",A1:CV300,131,FALSE)/HLOOKUP("Mins",A1:CV300,131,FALSE)* 90)</f>
      </c>
      <c r="BF131" s="14878">
        <f>IF(HLOOKUP("Mins",A1:CV300,131,FALSE)=0,0,HLOOKUP("SOT",A1:CV300,131,FALSE)/HLOOKUP("Mins",A1:CV300,131,FALSE)* 90)</f>
      </c>
      <c r="BG131" s="14879">
        <f>IF(HLOOKUP("Mins",A1:CV300,131,FALSE)=0,0,HLOOKUP("As",A1:CV300,131,FALSE)/HLOOKUP("Mins",A1:CV300,131,FALSE)* 90)</f>
      </c>
      <c r="BH131" s="14880">
        <f>IF(HLOOKUP("Mins",A1:CV300,131,FALSE)=0,0,HLOOKUP("FPL As",A1:CV300,131,FALSE)/HLOOKUP("Mins",A1:CV300,131,FALSE)* 90)</f>
      </c>
      <c r="BI131" s="14881">
        <f>IF(HLOOKUP("Mins",A1:CV300,131,FALSE)=0,0,HLOOKUP("BC Created",A1:CV300,131,FALSE)/HLOOKUP("Mins",A1:CV300,131,FALSE)* 90)</f>
      </c>
      <c r="BJ131" s="14882">
        <f>IF(HLOOKUP("Mins",A1:CV300,131,FALSE)=0,0,HLOOKUP("KP",A1:CV300,131,FALSE)/HLOOKUP("Mins",A1:CV300,131,FALSE)* 90)</f>
      </c>
      <c r="BK131" s="14883">
        <f>IF(HLOOKUP("Mins",A1:CV300,131,FALSE)=0,0,HLOOKUP("BC",A1:CV300,131,FALSE)/HLOOKUP("Mins",A1:CV300,131,FALSE)* 90)</f>
      </c>
      <c r="BL131" s="14884">
        <f>IF(HLOOKUP("Mins",A1:CV300,131,FALSE)=0,0,HLOOKUP("BC Miss",A1:CV300,131,FALSE)/HLOOKUP("Mins",A1:CV300,131,FALSE)* 90)</f>
      </c>
      <c r="BM131" s="14885">
        <f>IF(HLOOKUP("Mins",A1:CV300,131,FALSE)=0,0,HLOOKUP("Gs - BC",A1:CV300,131,FALSE)/HLOOKUP("Mins",A1:CV300,131,FALSE)* 90)</f>
      </c>
      <c r="BN131" s="14886">
        <f>IF(HLOOKUP("Mins",A1:CV300,131,FALSE)=0,0,HLOOKUP("GIB",A1:CV300,131,FALSE)/HLOOKUP("Mins",A1:CV300,131,FALSE)* 90)</f>
      </c>
      <c r="BO131" s="14887">
        <f>IF(HLOOKUP("Mins",A1:CV300,131,FALSE)=0,0,HLOOKUP("Gs - Open",A1:CV300,131,FALSE)/HLOOKUP("Mins",A1:CV300,131,FALSE)* 90)</f>
      </c>
      <c r="BP131" s="14888">
        <f>IF(HLOOKUP("Mins",A1:CV300,131,FALSE)=0,0,HLOOKUP("ICT Index",A1:CV300,131,FALSE)/HLOOKUP("Mins",A1:CV300,131,FALSE)* 90)</f>
      </c>
      <c r="BQ131" s="14889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</c>
      <c r="BR131" s="14890">
        <f>0.0825*HLOOKUP("KP/90",A1:CV300,131,FALSE)</f>
      </c>
      <c r="BS131" s="14891">
        <f>6*HLOOKUP("xG/90",A1:CV300,131,FALSE)+3*HLOOKUP("xA/90",A1:CV300,131,FALSE)</f>
      </c>
      <c r="BT131" s="14892">
        <f>HLOOKUP("xPts/90",A1:CV300,131,FALSE)-(6*0.75*(HLOOKUP("PK Gs",A1:CV300,131,FALSE)+HLOOKUP("PK Miss",A1:CV300,131,FALSE))*90/HLOOKUP("Mins",A1:CV300,131,FALSE))</f>
      </c>
      <c r="BU131" s="14893">
        <f>IF(HLOOKUP("Mins",A1:CV300,131,FALSE)=0,0,HLOOKUP("fsXG",A1:CV300,131,FALSE)/HLOOKUP("Mins",A1:CV300,131,FALSE)* 90)</f>
      </c>
      <c r="BV131" s="14894">
        <f>IF(HLOOKUP("Mins",A1:CV300,131,FALSE)=0,0,HLOOKUP("fsXA",A1:CV300,131,FALSE)/HLOOKUP("Mins",A1:CV300,131,FALSE)* 90)</f>
      </c>
      <c r="BW131" s="14895">
        <f>6*HLOOKUP("fsXG/90",A1:CV300,131,FALSE)+3*HLOOKUP("fsXA/90",A1:CV300,131,FALSE)</f>
      </c>
      <c r="BX131" t="n" s="14896">
        <v>0.004905900452286005</v>
      </c>
      <c r="BY131" t="n" s="14897">
        <v>0.0039056374225765467</v>
      </c>
      <c r="BZ131" s="14898">
        <f>6*HLOOKUP("uXG/90",A1:CV300,131,FALSE)+3*HLOOKUP("uXA/90",A1:CV300,131,FALSE)</f>
      </c>
    </row>
    <row r="132">
      <c r="A132" t="s" s="14899">
        <v>288</v>
      </c>
      <c r="B132" t="s" s="14900">
        <v>87</v>
      </c>
      <c r="C132" t="n" s="14901">
        <v>4.5</v>
      </c>
      <c r="D132" t="n" s="14902">
        <v>180.0</v>
      </c>
      <c r="E132" t="n" s="14903">
        <v>2.0</v>
      </c>
      <c r="F132" t="n" s="14904">
        <v>44.0</v>
      </c>
      <c r="G132" t="n" s="14905">
        <v>0.0</v>
      </c>
      <c r="H132" t="n" s="14906">
        <v>3.0</v>
      </c>
      <c r="I132" t="n" s="14907">
        <v>298.0</v>
      </c>
      <c r="J132" s="14908">
        <f>HLOOKUP("BPS",A1:CV300,132,FALSE)-((-6*HLOOKUP("OG",A1:CV300,132,FALSE))+(-6*HLOOKUP("PK Miss",A1:CV300,132,FALSE))+(9*HLOOKUP("FPL As",A1:CV300,132,FALSE))+(12*HLOOKUP("CS",A1:CV300,132,FALSE))+(12*HLOOKUP("Gs",A1:CV300,132,FALSE)))</f>
      </c>
      <c r="K132" t="n" s="14909">
        <v>0.0</v>
      </c>
      <c r="L132" t="n" s="14910">
        <v>3.0</v>
      </c>
      <c r="M132" t="n" s="14911">
        <v>0.0</v>
      </c>
      <c r="N132" t="n" s="14912">
        <v>0.0</v>
      </c>
      <c r="O132" t="n" s="14913">
        <v>0.0</v>
      </c>
      <c r="P132" s="14914">
        <f>IF(HLOOKUP("Shots",A1:CV300,132,FALSE)=0,0,HLOOKUP("SIB",A1:CV300,132,FALSE)/HLOOKUP("Shots",A1:CV300,132,FALSE))</f>
      </c>
      <c r="Q132" t="n" s="14915">
        <v>0.0</v>
      </c>
      <c r="R132" s="14916">
        <f>IF(HLOOKUP("Shots",A1:CV300,132,FALSE)=0,0,HLOOKUP("S6YD",A1:CV300,132,FALSE)/HLOOKUP("Shots",A1:CV300,132,FALSE))</f>
      </c>
      <c r="S132" t="n" s="14917">
        <v>0.0</v>
      </c>
      <c r="T132" s="14918">
        <f>IF(HLOOKUP("Shots",A1:CV300,132,FALSE)=0,0,HLOOKUP("Headers",A1:CV300,132,FALSE)/HLOOKUP("Shots",A1:CV300,132,FALSE))</f>
      </c>
      <c r="U132" t="n" s="14919">
        <v>0.0</v>
      </c>
      <c r="V132" s="14920">
        <f>IF(HLOOKUP("Shots",A1:CV300,132,FALSE)=0,0,HLOOKUP("SOT",A1:CV300,132,FALSE)/HLOOKUP("Shots",A1:CV300,132,FALSE))</f>
      </c>
      <c r="W132" s="14921">
        <f>IF(HLOOKUP("Shots",A1:CV300,132,FALSE)=0,0,HLOOKUP("Gs",A1:CV300,132,FALSE)/HLOOKUP("Shots",A1:CV300,132,FALSE))</f>
      </c>
      <c r="X132" t="n" s="14922">
        <v>0.0</v>
      </c>
      <c r="Y132" t="n" s="14923">
        <v>1.0</v>
      </c>
      <c r="Z132" t="n" s="14924">
        <v>0.0</v>
      </c>
      <c r="AA132" s="14925">
        <f>IF(HLOOKUP("KP",A1:CV300,132,FALSE)=0,0,HLOOKUP("As",A1:CV300,132,FALSE)/HLOOKUP("KP",A1:CV300,132,FALSE))</f>
      </c>
      <c r="AB132" t="n" s="14926">
        <v>2.5</v>
      </c>
      <c r="AC132" t="n" s="14927">
        <v>0.0</v>
      </c>
      <c r="AD132" t="n" s="14928">
        <v>0.0</v>
      </c>
      <c r="AE132" t="n" s="14929">
        <v>0.0</v>
      </c>
      <c r="AF132" t="n" s="14930">
        <v>0.0</v>
      </c>
      <c r="AG132" s="14931">
        <f>IF(HLOOKUP("BC",A1:CV300,132,FALSE)=0,0,HLOOKUP("Gs - BC",A1:CV300,132,FALSE)/HLOOKUP("BC",A1:CV300,132,FALSE))</f>
      </c>
      <c r="AH132" s="14932">
        <f>HLOOKUP("BC",A1:CV300,132,FALSE) - HLOOKUP("BC Miss",A1:CV300,132,FALSE)</f>
      </c>
      <c r="AI132" s="14933">
        <f>IF(HLOOKUP("Gs",A1:CV300,132,FALSE)=0,0,HLOOKUP("Gs - BC",A1:CV300,132,FALSE)/HLOOKUP("Gs",A1:CV300,132,FALSE))</f>
      </c>
      <c r="AJ132" t="n" s="14934">
        <v>0.0</v>
      </c>
      <c r="AK132" t="n" s="14935">
        <v>0.0</v>
      </c>
      <c r="AL132" s="14936">
        <f>HLOOKUP("BC",A1:CV300,132,FALSE) - (HLOOKUP("PK Gs",A1:CV300,132,FALSE) + HLOOKUP("PK Miss",A1:CV300,132,FALSE))</f>
      </c>
      <c r="AM132" s="14937">
        <f>HLOOKUP("BC Miss",A1:CV300,132,FALSE) - HLOOKUP("PK Miss",A1:CV300,132,FALSE)</f>
      </c>
      <c r="AN132" s="14938">
        <f>IF(HLOOKUP("BC - Open",A1:CV300,132,FALSE)=0,0,HLOOKUP("BC - Open Miss",A1:CV300,132,FALSE)/HLOOKUP("BC - Open",A1:CV300,132,FALSE))</f>
      </c>
      <c r="AO132" t="n" s="14939">
        <v>0.0</v>
      </c>
      <c r="AP132" s="14940">
        <f>IF(HLOOKUP("Gs",A1:CV300,132,FALSE)=0,0,HLOOKUP("GIB",A1:CV300,132,FALSE)/HLOOKUP("Gs",A1:CV300,132,FALSE))</f>
      </c>
      <c r="AQ132" t="n" s="14941">
        <v>0.0</v>
      </c>
      <c r="AR132" s="14942">
        <f>IF(HLOOKUP("Gs",A1:CV300,132,FALSE)=0,0,HLOOKUP("Gs - Open",A1:CV300,132,FALSE)/HLOOKUP("Gs",A1:CV300,132,FALSE))</f>
      </c>
      <c r="AS132" t="n" s="14943">
        <v>0.0</v>
      </c>
      <c r="AT132" t="n" s="14944">
        <v>0.02</v>
      </c>
      <c r="AU132" s="14945">
        <f>IF(HLOOKUP("Mins",A1:CV300,132,FALSE)=0,0,HLOOKUP("Pts",A1:CV300,132,FALSE)/HLOOKUP("Mins",A1:CV300,132,FALSE)* 90)</f>
      </c>
      <c r="AV132" s="14946">
        <f>IF(HLOOKUP("Apps",A1:CV300,132,FALSE)=0,0,HLOOKUP("Pts",A1:CV300,132,FALSE)/HLOOKUP("Apps",A1:CV300,132,FALSE)* 1)</f>
      </c>
      <c r="AW132" s="14947">
        <f>IF(HLOOKUP("Mins",A1:CV300,132,FALSE)=0,0,HLOOKUP("Gs",A1:CV300,132,FALSE)/HLOOKUP("Mins",A1:CV300,132,FALSE)* 90)</f>
      </c>
      <c r="AX132" s="14948">
        <f>IF(HLOOKUP("Mins",A1:CV300,132,FALSE)=0,0,HLOOKUP("Bonus",A1:CV300,132,FALSE)/HLOOKUP("Mins",A1:CV300,132,FALSE)* 90)</f>
      </c>
      <c r="AY132" s="14949">
        <f>IF(HLOOKUP("Mins",A1:CV300,132,FALSE)=0,0,HLOOKUP("BPS",A1:CV300,132,FALSE)/HLOOKUP("Mins",A1:CV300,132,FALSE)* 90)</f>
      </c>
      <c r="AZ132" s="14950">
        <f>IF(HLOOKUP("Mins",A1:CV300,132,FALSE)=0,0,HLOOKUP("Base BPS",A1:CV300,132,FALSE)/HLOOKUP("Mins",A1:CV300,132,FALSE)* 90)</f>
      </c>
      <c r="BA132" s="14951">
        <f>IF(HLOOKUP("Mins",A1:CV300,132,FALSE)=0,0,HLOOKUP("PenTchs",A1:CV300,132,FALSE)/HLOOKUP("Mins",A1:CV300,132,FALSE)* 90)</f>
      </c>
      <c r="BB132" s="14952">
        <f>IF(HLOOKUP("Mins",A1:CV300,132,FALSE)=0,0,HLOOKUP("Shots",A1:CV300,132,FALSE)/HLOOKUP("Mins",A1:CV300,132,FALSE)* 90)</f>
      </c>
      <c r="BC132" s="14953">
        <f>IF(HLOOKUP("Mins",A1:CV300,132,FALSE)=0,0,HLOOKUP("SIB",A1:CV300,132,FALSE)/HLOOKUP("Mins",A1:CV300,132,FALSE)* 90)</f>
      </c>
      <c r="BD132" s="14954">
        <f>IF(HLOOKUP("Mins",A1:CV300,132,FALSE)=0,0,HLOOKUP("S6YD",A1:CV300,132,FALSE)/HLOOKUP("Mins",A1:CV300,132,FALSE)* 90)</f>
      </c>
      <c r="BE132" s="14955">
        <f>IF(HLOOKUP("Mins",A1:CV300,132,FALSE)=0,0,HLOOKUP("Headers",A1:CV300,132,FALSE)/HLOOKUP("Mins",A1:CV300,132,FALSE)* 90)</f>
      </c>
      <c r="BF132" s="14956">
        <f>IF(HLOOKUP("Mins",A1:CV300,132,FALSE)=0,0,HLOOKUP("SOT",A1:CV300,132,FALSE)/HLOOKUP("Mins",A1:CV300,132,FALSE)* 90)</f>
      </c>
      <c r="BG132" s="14957">
        <f>IF(HLOOKUP("Mins",A1:CV300,132,FALSE)=0,0,HLOOKUP("As",A1:CV300,132,FALSE)/HLOOKUP("Mins",A1:CV300,132,FALSE)* 90)</f>
      </c>
      <c r="BH132" s="14958">
        <f>IF(HLOOKUP("Mins",A1:CV300,132,FALSE)=0,0,HLOOKUP("FPL As",A1:CV300,132,FALSE)/HLOOKUP("Mins",A1:CV300,132,FALSE)* 90)</f>
      </c>
      <c r="BI132" s="14959">
        <f>IF(HLOOKUP("Mins",A1:CV300,132,FALSE)=0,0,HLOOKUP("BC Created",A1:CV300,132,FALSE)/HLOOKUP("Mins",A1:CV300,132,FALSE)* 90)</f>
      </c>
      <c r="BJ132" s="14960">
        <f>IF(HLOOKUP("Mins",A1:CV300,132,FALSE)=0,0,HLOOKUP("KP",A1:CV300,132,FALSE)/HLOOKUP("Mins",A1:CV300,132,FALSE)* 90)</f>
      </c>
      <c r="BK132" s="14961">
        <f>IF(HLOOKUP("Mins",A1:CV300,132,FALSE)=0,0,HLOOKUP("BC",A1:CV300,132,FALSE)/HLOOKUP("Mins",A1:CV300,132,FALSE)* 90)</f>
      </c>
      <c r="BL132" s="14962">
        <f>IF(HLOOKUP("Mins",A1:CV300,132,FALSE)=0,0,HLOOKUP("BC Miss",A1:CV300,132,FALSE)/HLOOKUP("Mins",A1:CV300,132,FALSE)* 90)</f>
      </c>
      <c r="BM132" s="14963">
        <f>IF(HLOOKUP("Mins",A1:CV300,132,FALSE)=0,0,HLOOKUP("Gs - BC",A1:CV300,132,FALSE)/HLOOKUP("Mins",A1:CV300,132,FALSE)* 90)</f>
      </c>
      <c r="BN132" s="14964">
        <f>IF(HLOOKUP("Mins",A1:CV300,132,FALSE)=0,0,HLOOKUP("GIB",A1:CV300,132,FALSE)/HLOOKUP("Mins",A1:CV300,132,FALSE)* 90)</f>
      </c>
      <c r="BO132" s="14965">
        <f>IF(HLOOKUP("Mins",A1:CV300,132,FALSE)=0,0,HLOOKUP("Gs - Open",A1:CV300,132,FALSE)/HLOOKUP("Mins",A1:CV300,132,FALSE)* 90)</f>
      </c>
      <c r="BP132" s="14966">
        <f>IF(HLOOKUP("Mins",A1:CV300,132,FALSE)=0,0,HLOOKUP("ICT Index",A1:CV300,132,FALSE)/HLOOKUP("Mins",A1:CV300,132,FALSE)* 90)</f>
      </c>
      <c r="BQ132" s="14967">
        <f>IF(HLOOKUP("Mins",A1:CV300,132,FALSE)=0,0,(0.02*(HLOOKUP("Shots",A1:CV300,132,FALSE)-HLOOKUP("SIB",A1:CV300,132,FALSE))+0.093*(HLOOKUP("SIB",A1:CV300,132,FALSE)-(HLOOKUP("PK Gs",A1:CV300,132,FALSE)+HLOOKUP("PK Miss",A1:CV300,132,FALSE)))+0.75*(HLOOKUP("PK Gs",A1:CV300,132,FALSE)+HLOOKUP("PK Miss",A1:CV300,132,FALSE)))/HLOOKUP("Mins",A1:CV300,132,FALSE)*90)</f>
      </c>
      <c r="BR132" s="14968">
        <f>0.0825*HLOOKUP("KP/90",A1:CV300,132,FALSE)</f>
      </c>
      <c r="BS132" s="14969">
        <f>6*HLOOKUP("xG/90",A1:CV300,132,FALSE)+3*HLOOKUP("xA/90",A1:CV300,132,FALSE)</f>
      </c>
      <c r="BT132" s="14970">
        <f>HLOOKUP("xPts/90",A1:CV300,132,FALSE)-(6*0.75*(HLOOKUP("PK Gs",A1:CV300,132,FALSE)+HLOOKUP("PK Miss",A1:CV300,132,FALSE))*90/HLOOKUP("Mins",A1:CV300,132,FALSE))</f>
      </c>
      <c r="BU132" s="14971">
        <f>IF(HLOOKUP("Mins",A1:CV300,132,FALSE)=0,0,HLOOKUP("fsXG",A1:CV300,132,FALSE)/HLOOKUP("Mins",A1:CV300,132,FALSE)* 90)</f>
      </c>
      <c r="BV132" s="14972">
        <f>IF(HLOOKUP("Mins",A1:CV300,132,FALSE)=0,0,HLOOKUP("fsXA",A1:CV300,132,FALSE)/HLOOKUP("Mins",A1:CV300,132,FALSE)* 90)</f>
      </c>
      <c r="BW132" s="14973">
        <f>6*HLOOKUP("fsXG/90",A1:CV300,132,FALSE)+3*HLOOKUP("fsXA/90",A1:CV300,132,FALSE)</f>
      </c>
      <c r="BX132" t="n" s="14974">
        <v>0.0</v>
      </c>
      <c r="BY132" t="n" s="14975">
        <v>0.0</v>
      </c>
      <c r="BZ132" s="14976">
        <f>6*HLOOKUP("uXG/90",A1:CV300,132,FALSE)+3*HLOOKUP("uXA/90",A1:CV300,132,FALSE)</f>
      </c>
    </row>
    <row r="133">
      <c r="A133" t="s" s="14977">
        <v>289</v>
      </c>
      <c r="B133" t="s" s="14978">
        <v>105</v>
      </c>
      <c r="C133" t="n" s="14979">
        <v>5.5</v>
      </c>
      <c r="D133" t="n" s="14980">
        <v>445.0</v>
      </c>
      <c r="E133" t="n" s="14981">
        <v>5.0</v>
      </c>
      <c r="F133" t="n" s="14982">
        <v>31.0</v>
      </c>
      <c r="G133" t="n" s="14983">
        <v>0.0</v>
      </c>
      <c r="H133" t="n" s="14984">
        <v>0.0</v>
      </c>
      <c r="I133" t="n" s="14985">
        <v>182.0</v>
      </c>
      <c r="J133" s="14986">
        <f>HLOOKUP("BPS",A1:CV300,133,FALSE)-((-6*HLOOKUP("OG",A1:CV300,133,FALSE))+(-6*HLOOKUP("PK Miss",A1:CV300,133,FALSE))+(9*HLOOKUP("FPL As",A1:CV300,133,FALSE))+(12*HLOOKUP("CS",A1:CV300,133,FALSE))+(12*HLOOKUP("Gs",A1:CV300,133,FALSE)))</f>
      </c>
      <c r="K133" t="n" s="14987">
        <v>0.0</v>
      </c>
      <c r="L133" t="n" s="14988">
        <v>3.0</v>
      </c>
      <c r="M133" t="n" s="14989">
        <v>2.0</v>
      </c>
      <c r="N133" t="n" s="14990">
        <v>0.0</v>
      </c>
      <c r="O133" t="n" s="14991">
        <v>0.0</v>
      </c>
      <c r="P133" s="14992">
        <f>IF(HLOOKUP("Shots",A1:CV300,133,FALSE)=0,0,HLOOKUP("SIB",A1:CV300,133,FALSE)/HLOOKUP("Shots",A1:CV300,133,FALSE))</f>
      </c>
      <c r="Q133" t="n" s="14993">
        <v>0.0</v>
      </c>
      <c r="R133" s="14994">
        <f>IF(HLOOKUP("Shots",A1:CV300,133,FALSE)=0,0,HLOOKUP("S6YD",A1:CV300,133,FALSE)/HLOOKUP("Shots",A1:CV300,133,FALSE))</f>
      </c>
      <c r="S133" t="n" s="14995">
        <v>0.0</v>
      </c>
      <c r="T133" s="14996">
        <f>IF(HLOOKUP("Shots",A1:CV300,133,FALSE)=0,0,HLOOKUP("Headers",A1:CV300,133,FALSE)/HLOOKUP("Shots",A1:CV300,133,FALSE))</f>
      </c>
      <c r="U133" t="n" s="14997">
        <v>0.0</v>
      </c>
      <c r="V133" s="14998">
        <f>IF(HLOOKUP("Shots",A1:CV300,133,FALSE)=0,0,HLOOKUP("SOT",A1:CV300,133,FALSE)/HLOOKUP("Shots",A1:CV300,133,FALSE))</f>
      </c>
      <c r="W133" s="14999">
        <f>IF(HLOOKUP("Shots",A1:CV300,133,FALSE)=0,0,HLOOKUP("Gs",A1:CV300,133,FALSE)/HLOOKUP("Shots",A1:CV300,133,FALSE))</f>
      </c>
      <c r="X133" t="n" s="15000">
        <v>1.0</v>
      </c>
      <c r="Y133" t="n" s="15001">
        <v>1.0</v>
      </c>
      <c r="Z133" t="n" s="15002">
        <v>11.0</v>
      </c>
      <c r="AA133" s="15003">
        <f>IF(HLOOKUP("KP",A1:CV300,133,FALSE)=0,0,HLOOKUP("As",A1:CV300,133,FALSE)/HLOOKUP("KP",A1:CV300,133,FALSE))</f>
      </c>
      <c r="AB133" t="n" s="15004">
        <v>25.0</v>
      </c>
      <c r="AC133" t="n" s="15005">
        <v>6.0</v>
      </c>
      <c r="AD133" t="n" s="15006">
        <v>1.0</v>
      </c>
      <c r="AE133" t="n" s="15007">
        <v>0.0</v>
      </c>
      <c r="AF133" t="n" s="15008">
        <v>0.0</v>
      </c>
      <c r="AG133" s="15009">
        <f>IF(HLOOKUP("BC",A1:CV300,133,FALSE)=0,0,HLOOKUP("Gs - BC",A1:CV300,133,FALSE)/HLOOKUP("BC",A1:CV300,133,FALSE))</f>
      </c>
      <c r="AH133" s="15010">
        <f>HLOOKUP("BC",A1:CV300,133,FALSE) - HLOOKUP("BC Miss",A1:CV300,133,FALSE)</f>
      </c>
      <c r="AI133" s="15011">
        <f>IF(HLOOKUP("Gs",A1:CV300,133,FALSE)=0,0,HLOOKUP("Gs - BC",A1:CV300,133,FALSE)/HLOOKUP("Gs",A1:CV300,133,FALSE))</f>
      </c>
      <c r="AJ133" t="n" s="15012">
        <v>0.0</v>
      </c>
      <c r="AK133" t="n" s="15013">
        <v>0.0</v>
      </c>
      <c r="AL133" s="15014">
        <f>HLOOKUP("BC",A1:CV300,133,FALSE) - (HLOOKUP("PK Gs",A1:CV300,133,FALSE) + HLOOKUP("PK Miss",A1:CV300,133,FALSE))</f>
      </c>
      <c r="AM133" s="15015">
        <f>HLOOKUP("BC Miss",A1:CV300,133,FALSE) - HLOOKUP("PK Miss",A1:CV300,133,FALSE)</f>
      </c>
      <c r="AN133" s="15016">
        <f>IF(HLOOKUP("BC - Open",A1:CV300,133,FALSE)=0,0,HLOOKUP("BC - Open Miss",A1:CV300,133,FALSE)/HLOOKUP("BC - Open",A1:CV300,133,FALSE))</f>
      </c>
      <c r="AO133" t="n" s="15017">
        <v>0.0</v>
      </c>
      <c r="AP133" s="15018">
        <f>IF(HLOOKUP("Gs",A1:CV300,133,FALSE)=0,0,HLOOKUP("GIB",A1:CV300,133,FALSE)/HLOOKUP("Gs",A1:CV300,133,FALSE))</f>
      </c>
      <c r="AQ133" t="n" s="15019">
        <v>0.0</v>
      </c>
      <c r="AR133" s="15020">
        <f>IF(HLOOKUP("Gs",A1:CV300,133,FALSE)=0,0,HLOOKUP("Gs - Open",A1:CV300,133,FALSE)/HLOOKUP("Gs",A1:CV300,133,FALSE))</f>
      </c>
      <c r="AS133" t="n" s="15021">
        <v>0.0</v>
      </c>
      <c r="AT133" t="n" s="15022">
        <v>0.48</v>
      </c>
      <c r="AU133" s="15023">
        <f>IF(HLOOKUP("Mins",A1:CV300,133,FALSE)=0,0,HLOOKUP("Pts",A1:CV300,133,FALSE)/HLOOKUP("Mins",A1:CV300,133,FALSE)* 90)</f>
      </c>
      <c r="AV133" s="15024">
        <f>IF(HLOOKUP("Apps",A1:CV300,133,FALSE)=0,0,HLOOKUP("Pts",A1:CV300,133,FALSE)/HLOOKUP("Apps",A1:CV300,133,FALSE)* 1)</f>
      </c>
      <c r="AW133" s="15025">
        <f>IF(HLOOKUP("Mins",A1:CV300,133,FALSE)=0,0,HLOOKUP("Gs",A1:CV300,133,FALSE)/HLOOKUP("Mins",A1:CV300,133,FALSE)* 90)</f>
      </c>
      <c r="AX133" s="15026">
        <f>IF(HLOOKUP("Mins",A1:CV300,133,FALSE)=0,0,HLOOKUP("Bonus",A1:CV300,133,FALSE)/HLOOKUP("Mins",A1:CV300,133,FALSE)* 90)</f>
      </c>
      <c r="AY133" s="15027">
        <f>IF(HLOOKUP("Mins",A1:CV300,133,FALSE)=0,0,HLOOKUP("BPS",A1:CV300,133,FALSE)/HLOOKUP("Mins",A1:CV300,133,FALSE)* 90)</f>
      </c>
      <c r="AZ133" s="15028">
        <f>IF(HLOOKUP("Mins",A1:CV300,133,FALSE)=0,0,HLOOKUP("Base BPS",A1:CV300,133,FALSE)/HLOOKUP("Mins",A1:CV300,133,FALSE)* 90)</f>
      </c>
      <c r="BA133" s="15029">
        <f>IF(HLOOKUP("Mins",A1:CV300,133,FALSE)=0,0,HLOOKUP("PenTchs",A1:CV300,133,FALSE)/HLOOKUP("Mins",A1:CV300,133,FALSE)* 90)</f>
      </c>
      <c r="BB133" s="15030">
        <f>IF(HLOOKUP("Mins",A1:CV300,133,FALSE)=0,0,HLOOKUP("Shots",A1:CV300,133,FALSE)/HLOOKUP("Mins",A1:CV300,133,FALSE)* 90)</f>
      </c>
      <c r="BC133" s="15031">
        <f>IF(HLOOKUP("Mins",A1:CV300,133,FALSE)=0,0,HLOOKUP("SIB",A1:CV300,133,FALSE)/HLOOKUP("Mins",A1:CV300,133,FALSE)* 90)</f>
      </c>
      <c r="BD133" s="15032">
        <f>IF(HLOOKUP("Mins",A1:CV300,133,FALSE)=0,0,HLOOKUP("S6YD",A1:CV300,133,FALSE)/HLOOKUP("Mins",A1:CV300,133,FALSE)* 90)</f>
      </c>
      <c r="BE133" s="15033">
        <f>IF(HLOOKUP("Mins",A1:CV300,133,FALSE)=0,0,HLOOKUP("Headers",A1:CV300,133,FALSE)/HLOOKUP("Mins",A1:CV300,133,FALSE)* 90)</f>
      </c>
      <c r="BF133" s="15034">
        <f>IF(HLOOKUP("Mins",A1:CV300,133,FALSE)=0,0,HLOOKUP("SOT",A1:CV300,133,FALSE)/HLOOKUP("Mins",A1:CV300,133,FALSE)* 90)</f>
      </c>
      <c r="BG133" s="15035">
        <f>IF(HLOOKUP("Mins",A1:CV300,133,FALSE)=0,0,HLOOKUP("As",A1:CV300,133,FALSE)/HLOOKUP("Mins",A1:CV300,133,FALSE)* 90)</f>
      </c>
      <c r="BH133" s="15036">
        <f>IF(HLOOKUP("Mins",A1:CV300,133,FALSE)=0,0,HLOOKUP("FPL As",A1:CV300,133,FALSE)/HLOOKUP("Mins",A1:CV300,133,FALSE)* 90)</f>
      </c>
      <c r="BI133" s="15037">
        <f>IF(HLOOKUP("Mins",A1:CV300,133,FALSE)=0,0,HLOOKUP("BC Created",A1:CV300,133,FALSE)/HLOOKUP("Mins",A1:CV300,133,FALSE)* 90)</f>
      </c>
      <c r="BJ133" s="15038">
        <f>IF(HLOOKUP("Mins",A1:CV300,133,FALSE)=0,0,HLOOKUP("KP",A1:CV300,133,FALSE)/HLOOKUP("Mins",A1:CV300,133,FALSE)* 90)</f>
      </c>
      <c r="BK133" s="15039">
        <f>IF(HLOOKUP("Mins",A1:CV300,133,FALSE)=0,0,HLOOKUP("BC",A1:CV300,133,FALSE)/HLOOKUP("Mins",A1:CV300,133,FALSE)* 90)</f>
      </c>
      <c r="BL133" s="15040">
        <f>IF(HLOOKUP("Mins",A1:CV300,133,FALSE)=0,0,HLOOKUP("BC Miss",A1:CV300,133,FALSE)/HLOOKUP("Mins",A1:CV300,133,FALSE)* 90)</f>
      </c>
      <c r="BM133" s="15041">
        <f>IF(HLOOKUP("Mins",A1:CV300,133,FALSE)=0,0,HLOOKUP("Gs - BC",A1:CV300,133,FALSE)/HLOOKUP("Mins",A1:CV300,133,FALSE)* 90)</f>
      </c>
      <c r="BN133" s="15042">
        <f>IF(HLOOKUP("Mins",A1:CV300,133,FALSE)=0,0,HLOOKUP("GIB",A1:CV300,133,FALSE)/HLOOKUP("Mins",A1:CV300,133,FALSE)* 90)</f>
      </c>
      <c r="BO133" s="15043">
        <f>IF(HLOOKUP("Mins",A1:CV300,133,FALSE)=0,0,HLOOKUP("Gs - Open",A1:CV300,133,FALSE)/HLOOKUP("Mins",A1:CV300,133,FALSE)* 90)</f>
      </c>
      <c r="BP133" s="15044">
        <f>IF(HLOOKUP("Mins",A1:CV300,133,FALSE)=0,0,HLOOKUP("ICT Index",A1:CV300,133,FALSE)/HLOOKUP("Mins",A1:CV300,133,FALSE)* 90)</f>
      </c>
      <c r="BQ133" s="15045">
        <f>IF(HLOOKUP("Mins",A1:CV300,133,FALSE)=0,0,(0.02*(HLOOKUP("Shots",A1:CV300,133,FALSE)-HLOOKUP("SIB",A1:CV300,133,FALSE))+0.093*(HLOOKUP("SIB",A1:CV300,133,FALSE)-(HLOOKUP("PK Gs",A1:CV300,133,FALSE)+HLOOKUP("PK Miss",A1:CV300,133,FALSE)))+0.75*(HLOOKUP("PK Gs",A1:CV300,133,FALSE)+HLOOKUP("PK Miss",A1:CV300,133,FALSE)))/HLOOKUP("Mins",A1:CV300,133,FALSE)*90)</f>
      </c>
      <c r="BR133" s="15046">
        <f>0.0825*HLOOKUP("KP/90",A1:CV300,133,FALSE)</f>
      </c>
      <c r="BS133" s="15047">
        <f>6*HLOOKUP("xG/90",A1:CV300,133,FALSE)+3*HLOOKUP("xA/90",A1:CV300,133,FALSE)</f>
      </c>
      <c r="BT133" s="15048">
        <f>HLOOKUP("xPts/90",A1:CV300,133,FALSE)-(6*0.75*(HLOOKUP("PK Gs",A1:CV300,133,FALSE)+HLOOKUP("PK Miss",A1:CV300,133,FALSE))*90/HLOOKUP("Mins",A1:CV300,133,FALSE))</f>
      </c>
      <c r="BU133" s="15049">
        <f>IF(HLOOKUP("Mins",A1:CV300,133,FALSE)=0,0,HLOOKUP("fsXG",A1:CV300,133,FALSE)/HLOOKUP("Mins",A1:CV300,133,FALSE)* 90)</f>
      </c>
      <c r="BV133" s="15050">
        <f>IF(HLOOKUP("Mins",A1:CV300,133,FALSE)=0,0,HLOOKUP("fsXA",A1:CV300,133,FALSE)/HLOOKUP("Mins",A1:CV300,133,FALSE)* 90)</f>
      </c>
      <c r="BW133" s="15051">
        <f>6*HLOOKUP("fsXG/90",A1:CV300,133,FALSE)+3*HLOOKUP("fsXA/90",A1:CV300,133,FALSE)</f>
      </c>
      <c r="BX133" t="n" s="15052">
        <v>0.0</v>
      </c>
      <c r="BY133" t="n" s="15053">
        <v>0.17354169487953186</v>
      </c>
      <c r="BZ133" s="15054">
        <f>6*HLOOKUP("uXG/90",A1:CV300,133,FALSE)+3*HLOOKUP("uXA/90",A1:CV300,133,FALSE)</f>
      </c>
    </row>
    <row r="134">
      <c r="A134" t="s" s="15055">
        <v>290</v>
      </c>
      <c r="B134" t="s" s="15056">
        <v>102</v>
      </c>
      <c r="C134" t="n" s="15057">
        <v>4.300000190734863</v>
      </c>
      <c r="D134" t="n" s="15058">
        <v>318.0</v>
      </c>
      <c r="E134" t="n" s="15059">
        <v>4.0</v>
      </c>
      <c r="F134" t="n" s="15060">
        <v>32.0</v>
      </c>
      <c r="G134" t="n" s="15061">
        <v>0.0</v>
      </c>
      <c r="H134" t="n" s="15062">
        <v>4.0</v>
      </c>
      <c r="I134" t="n" s="15063">
        <v>137.0</v>
      </c>
      <c r="J134" s="15064">
        <f>HLOOKUP("BPS",A1:CV300,134,FALSE)-((-6*HLOOKUP("OG",A1:CV300,134,FALSE))+(-6*HLOOKUP("PK Miss",A1:CV300,134,FALSE))+(9*HLOOKUP("FPL As",A1:CV300,134,FALSE))+(12*HLOOKUP("CS",A1:CV300,134,FALSE))+(12*HLOOKUP("Gs",A1:CV300,134,FALSE)))</f>
      </c>
      <c r="K134" t="n" s="15065">
        <v>0.0</v>
      </c>
      <c r="L134" t="n" s="15066">
        <v>3.0</v>
      </c>
      <c r="M134" t="n" s="15067">
        <v>1.0</v>
      </c>
      <c r="N134" t="n" s="15068">
        <v>0.0</v>
      </c>
      <c r="O134" t="n" s="15069">
        <v>0.0</v>
      </c>
      <c r="P134" s="15070">
        <f>IF(HLOOKUP("Shots",A1:CV300,134,FALSE)=0,0,HLOOKUP("SIB",A1:CV300,134,FALSE)/HLOOKUP("Shots",A1:CV300,134,FALSE))</f>
      </c>
      <c r="Q134" t="n" s="15071">
        <v>0.0</v>
      </c>
      <c r="R134" s="15072">
        <f>IF(HLOOKUP("Shots",A1:CV300,134,FALSE)=0,0,HLOOKUP("S6YD",A1:CV300,134,FALSE)/HLOOKUP("Shots",A1:CV300,134,FALSE))</f>
      </c>
      <c r="S134" t="n" s="15073">
        <v>0.0</v>
      </c>
      <c r="T134" s="15074">
        <f>IF(HLOOKUP("Shots",A1:CV300,134,FALSE)=0,0,HLOOKUP("Headers",A1:CV300,134,FALSE)/HLOOKUP("Shots",A1:CV300,134,FALSE))</f>
      </c>
      <c r="U134" t="n" s="15075">
        <v>0.0</v>
      </c>
      <c r="V134" s="15076">
        <f>IF(HLOOKUP("Shots",A1:CV300,134,FALSE)=0,0,HLOOKUP("SOT",A1:CV300,134,FALSE)/HLOOKUP("Shots",A1:CV300,134,FALSE))</f>
      </c>
      <c r="W134" s="15077">
        <f>IF(HLOOKUP("Shots",A1:CV300,134,FALSE)=0,0,HLOOKUP("Gs",A1:CV300,134,FALSE)/HLOOKUP("Shots",A1:CV300,134,FALSE))</f>
      </c>
      <c r="X134" t="n" s="15078">
        <v>0.0</v>
      </c>
      <c r="Y134" t="n" s="15079">
        <v>1.0</v>
      </c>
      <c r="Z134" t="n" s="15080">
        <v>0.0</v>
      </c>
      <c r="AA134" s="15081">
        <f>IF(HLOOKUP("KP",A1:CV300,134,FALSE)=0,0,HLOOKUP("As",A1:CV300,134,FALSE)/HLOOKUP("KP",A1:CV300,134,FALSE))</f>
      </c>
      <c r="AB134" t="n" s="15082">
        <v>5.5</v>
      </c>
      <c r="AC134" t="n" s="15083">
        <v>0.0</v>
      </c>
      <c r="AD134" t="n" s="15084">
        <v>0.0</v>
      </c>
      <c r="AE134" t="n" s="15085">
        <v>0.0</v>
      </c>
      <c r="AF134" t="n" s="15086">
        <v>0.0</v>
      </c>
      <c r="AG134" s="15087">
        <f>IF(HLOOKUP("BC",A1:CV300,134,FALSE)=0,0,HLOOKUP("Gs - BC",A1:CV300,134,FALSE)/HLOOKUP("BC",A1:CV300,134,FALSE))</f>
      </c>
      <c r="AH134" s="15088">
        <f>HLOOKUP("BC",A1:CV300,134,FALSE) - HLOOKUP("BC Miss",A1:CV300,134,FALSE)</f>
      </c>
      <c r="AI134" s="15089">
        <f>IF(HLOOKUP("Gs",A1:CV300,134,FALSE)=0,0,HLOOKUP("Gs - BC",A1:CV300,134,FALSE)/HLOOKUP("Gs",A1:CV300,134,FALSE))</f>
      </c>
      <c r="AJ134" t="n" s="15090">
        <v>0.0</v>
      </c>
      <c r="AK134" t="n" s="15091">
        <v>0.0</v>
      </c>
      <c r="AL134" s="15092">
        <f>HLOOKUP("BC",A1:CV300,134,FALSE) - (HLOOKUP("PK Gs",A1:CV300,134,FALSE) + HLOOKUP("PK Miss",A1:CV300,134,FALSE))</f>
      </c>
      <c r="AM134" s="15093">
        <f>HLOOKUP("BC Miss",A1:CV300,134,FALSE) - HLOOKUP("PK Miss",A1:CV300,134,FALSE)</f>
      </c>
      <c r="AN134" s="15094">
        <f>IF(HLOOKUP("BC - Open",A1:CV300,134,FALSE)=0,0,HLOOKUP("BC - Open Miss",A1:CV300,134,FALSE)/HLOOKUP("BC - Open",A1:CV300,134,FALSE))</f>
      </c>
      <c r="AO134" t="n" s="15095">
        <v>0.0</v>
      </c>
      <c r="AP134" s="15096">
        <f>IF(HLOOKUP("Gs",A1:CV300,134,FALSE)=0,0,HLOOKUP("GIB",A1:CV300,134,FALSE)/HLOOKUP("Gs",A1:CV300,134,FALSE))</f>
      </c>
      <c r="AQ134" t="n" s="15097">
        <v>0.0</v>
      </c>
      <c r="AR134" s="15098">
        <f>IF(HLOOKUP("Gs",A1:CV300,134,FALSE)=0,0,HLOOKUP("Gs - Open",A1:CV300,134,FALSE)/HLOOKUP("Gs",A1:CV300,134,FALSE))</f>
      </c>
      <c r="AS134" t="n" s="15099">
        <v>0.0</v>
      </c>
      <c r="AT134" t="n" s="15100">
        <v>0.06</v>
      </c>
      <c r="AU134" s="15101">
        <f>IF(HLOOKUP("Mins",A1:CV300,134,FALSE)=0,0,HLOOKUP("Pts",A1:CV300,134,FALSE)/HLOOKUP("Mins",A1:CV300,134,FALSE)* 90)</f>
      </c>
      <c r="AV134" s="15102">
        <f>IF(HLOOKUP("Apps",A1:CV300,134,FALSE)=0,0,HLOOKUP("Pts",A1:CV300,134,FALSE)/HLOOKUP("Apps",A1:CV300,134,FALSE)* 1)</f>
      </c>
      <c r="AW134" s="15103">
        <f>IF(HLOOKUP("Mins",A1:CV300,134,FALSE)=0,0,HLOOKUP("Gs",A1:CV300,134,FALSE)/HLOOKUP("Mins",A1:CV300,134,FALSE)* 90)</f>
      </c>
      <c r="AX134" s="15104">
        <f>IF(HLOOKUP("Mins",A1:CV300,134,FALSE)=0,0,HLOOKUP("Bonus",A1:CV300,134,FALSE)/HLOOKUP("Mins",A1:CV300,134,FALSE)* 90)</f>
      </c>
      <c r="AY134" s="15105">
        <f>IF(HLOOKUP("Mins",A1:CV300,134,FALSE)=0,0,HLOOKUP("BPS",A1:CV300,134,FALSE)/HLOOKUP("Mins",A1:CV300,134,FALSE)* 90)</f>
      </c>
      <c r="AZ134" s="15106">
        <f>IF(HLOOKUP("Mins",A1:CV300,134,FALSE)=0,0,HLOOKUP("Base BPS",A1:CV300,134,FALSE)/HLOOKUP("Mins",A1:CV300,134,FALSE)* 90)</f>
      </c>
      <c r="BA134" s="15107">
        <f>IF(HLOOKUP("Mins",A1:CV300,134,FALSE)=0,0,HLOOKUP("PenTchs",A1:CV300,134,FALSE)/HLOOKUP("Mins",A1:CV300,134,FALSE)* 90)</f>
      </c>
      <c r="BB134" s="15108">
        <f>IF(HLOOKUP("Mins",A1:CV300,134,FALSE)=0,0,HLOOKUP("Shots",A1:CV300,134,FALSE)/HLOOKUP("Mins",A1:CV300,134,FALSE)* 90)</f>
      </c>
      <c r="BC134" s="15109">
        <f>IF(HLOOKUP("Mins",A1:CV300,134,FALSE)=0,0,HLOOKUP("SIB",A1:CV300,134,FALSE)/HLOOKUP("Mins",A1:CV300,134,FALSE)* 90)</f>
      </c>
      <c r="BD134" s="15110">
        <f>IF(HLOOKUP("Mins",A1:CV300,134,FALSE)=0,0,HLOOKUP("S6YD",A1:CV300,134,FALSE)/HLOOKUP("Mins",A1:CV300,134,FALSE)* 90)</f>
      </c>
      <c r="BE134" s="15111">
        <f>IF(HLOOKUP("Mins",A1:CV300,134,FALSE)=0,0,HLOOKUP("Headers",A1:CV300,134,FALSE)/HLOOKUP("Mins",A1:CV300,134,FALSE)* 90)</f>
      </c>
      <c r="BF134" s="15112">
        <f>IF(HLOOKUP("Mins",A1:CV300,134,FALSE)=0,0,HLOOKUP("SOT",A1:CV300,134,FALSE)/HLOOKUP("Mins",A1:CV300,134,FALSE)* 90)</f>
      </c>
      <c r="BG134" s="15113">
        <f>IF(HLOOKUP("Mins",A1:CV300,134,FALSE)=0,0,HLOOKUP("As",A1:CV300,134,FALSE)/HLOOKUP("Mins",A1:CV300,134,FALSE)* 90)</f>
      </c>
      <c r="BH134" s="15114">
        <f>IF(HLOOKUP("Mins",A1:CV300,134,FALSE)=0,0,HLOOKUP("FPL As",A1:CV300,134,FALSE)/HLOOKUP("Mins",A1:CV300,134,FALSE)* 90)</f>
      </c>
      <c r="BI134" s="15115">
        <f>IF(HLOOKUP("Mins",A1:CV300,134,FALSE)=0,0,HLOOKUP("BC Created",A1:CV300,134,FALSE)/HLOOKUP("Mins",A1:CV300,134,FALSE)* 90)</f>
      </c>
      <c r="BJ134" s="15116">
        <f>IF(HLOOKUP("Mins",A1:CV300,134,FALSE)=0,0,HLOOKUP("KP",A1:CV300,134,FALSE)/HLOOKUP("Mins",A1:CV300,134,FALSE)* 90)</f>
      </c>
      <c r="BK134" s="15117">
        <f>IF(HLOOKUP("Mins",A1:CV300,134,FALSE)=0,0,HLOOKUP("BC",A1:CV300,134,FALSE)/HLOOKUP("Mins",A1:CV300,134,FALSE)* 90)</f>
      </c>
      <c r="BL134" s="15118">
        <f>IF(HLOOKUP("Mins",A1:CV300,134,FALSE)=0,0,HLOOKUP("BC Miss",A1:CV300,134,FALSE)/HLOOKUP("Mins",A1:CV300,134,FALSE)* 90)</f>
      </c>
      <c r="BM134" s="15119">
        <f>IF(HLOOKUP("Mins",A1:CV300,134,FALSE)=0,0,HLOOKUP("Gs - BC",A1:CV300,134,FALSE)/HLOOKUP("Mins",A1:CV300,134,FALSE)* 90)</f>
      </c>
      <c r="BN134" s="15120">
        <f>IF(HLOOKUP("Mins",A1:CV300,134,FALSE)=0,0,HLOOKUP("GIB",A1:CV300,134,FALSE)/HLOOKUP("Mins",A1:CV300,134,FALSE)* 90)</f>
      </c>
      <c r="BO134" s="15121">
        <f>IF(HLOOKUP("Mins",A1:CV300,134,FALSE)=0,0,HLOOKUP("Gs - Open",A1:CV300,134,FALSE)/HLOOKUP("Mins",A1:CV300,134,FALSE)* 90)</f>
      </c>
      <c r="BP134" s="15122">
        <f>IF(HLOOKUP("Mins",A1:CV300,134,FALSE)=0,0,HLOOKUP("ICT Index",A1:CV300,134,FALSE)/HLOOKUP("Mins",A1:CV300,134,FALSE)* 90)</f>
      </c>
      <c r="BQ134" s="15123">
        <f>IF(HLOOKUP("Mins",A1:CV300,134,FALSE)=0,0,(0.02*(HLOOKUP("Shots",A1:CV300,134,FALSE)-HLOOKUP("SIB",A1:CV300,134,FALSE))+0.093*(HLOOKUP("SIB",A1:CV300,134,FALSE)-(HLOOKUP("PK Gs",A1:CV300,134,FALSE)+HLOOKUP("PK Miss",A1:CV300,134,FALSE)))+0.75*(HLOOKUP("PK Gs",A1:CV300,134,FALSE)+HLOOKUP("PK Miss",A1:CV300,134,FALSE)))/HLOOKUP("Mins",A1:CV300,134,FALSE)*90)</f>
      </c>
      <c r="BR134" s="15124">
        <f>0.0825*HLOOKUP("KP/90",A1:CV300,134,FALSE)</f>
      </c>
      <c r="BS134" s="15125">
        <f>6*HLOOKUP("xG/90",A1:CV300,134,FALSE)+3*HLOOKUP("xA/90",A1:CV300,134,FALSE)</f>
      </c>
      <c r="BT134" s="15126">
        <f>HLOOKUP("xPts/90",A1:CV300,134,FALSE)-(6*0.75*(HLOOKUP("PK Gs",A1:CV300,134,FALSE)+HLOOKUP("PK Miss",A1:CV300,134,FALSE))*90/HLOOKUP("Mins",A1:CV300,134,FALSE))</f>
      </c>
      <c r="BU134" s="15127">
        <f>IF(HLOOKUP("Mins",A1:CV300,134,FALSE)=0,0,HLOOKUP("fsXG",A1:CV300,134,FALSE)/HLOOKUP("Mins",A1:CV300,134,FALSE)* 90)</f>
      </c>
      <c r="BV134" s="15128">
        <f>IF(HLOOKUP("Mins",A1:CV300,134,FALSE)=0,0,HLOOKUP("fsXA",A1:CV300,134,FALSE)/HLOOKUP("Mins",A1:CV300,134,FALSE)* 90)</f>
      </c>
      <c r="BW134" s="15129">
        <f>6*HLOOKUP("fsXG/90",A1:CV300,134,FALSE)+3*HLOOKUP("fsXA/90",A1:CV300,134,FALSE)</f>
      </c>
      <c r="BX134" t="n" s="15130">
        <v>0.0</v>
      </c>
      <c r="BY134" t="n" s="15131">
        <v>0.0</v>
      </c>
      <c r="BZ134" s="15132">
        <f>6*HLOOKUP("uXG/90",A1:CV300,134,FALSE)+3*HLOOKUP("uXA/90",A1:CV300,134,FALSE)</f>
      </c>
    </row>
    <row r="135">
      <c r="A135" t="s" s="15133">
        <v>291</v>
      </c>
      <c r="B135" t="s" s="15134">
        <v>87</v>
      </c>
      <c r="C135" t="n" s="15135">
        <v>4.400000095367432</v>
      </c>
      <c r="D135" t="n" s="15136">
        <v>336.0</v>
      </c>
      <c r="E135" t="n" s="15137">
        <v>4.0</v>
      </c>
      <c r="F135" t="n" s="15138">
        <v>49.0</v>
      </c>
      <c r="G135" t="n" s="15139">
        <v>0.0</v>
      </c>
      <c r="H135" t="n" s="15140">
        <v>9.0</v>
      </c>
      <c r="I135" t="n" s="15141">
        <v>265.0</v>
      </c>
      <c r="J135" s="15142">
        <f>HLOOKUP("BPS",A1:CV300,135,FALSE)-((-6*HLOOKUP("OG",A1:CV300,135,FALSE))+(-6*HLOOKUP("PK Miss",A1:CV300,135,FALSE))+(9*HLOOKUP("FPL As",A1:CV300,135,FALSE))+(12*HLOOKUP("CS",A1:CV300,135,FALSE))+(12*HLOOKUP("Gs",A1:CV300,135,FALSE)))</f>
      </c>
      <c r="K135" t="n" s="15143">
        <v>0.0</v>
      </c>
      <c r="L135" t="n" s="15144">
        <v>3.0</v>
      </c>
      <c r="M135" t="n" s="15145">
        <v>1.0</v>
      </c>
      <c r="N135" t="n" s="15146">
        <v>0.0</v>
      </c>
      <c r="O135" t="n" s="15147">
        <v>0.0</v>
      </c>
      <c r="P135" s="15148">
        <f>IF(HLOOKUP("Shots",A1:CV300,135,FALSE)=0,0,HLOOKUP("SIB",A1:CV300,135,FALSE)/HLOOKUP("Shots",A1:CV300,135,FALSE))</f>
      </c>
      <c r="Q135" t="n" s="15149">
        <v>0.0</v>
      </c>
      <c r="R135" s="15150">
        <f>IF(HLOOKUP("Shots",A1:CV300,135,FALSE)=0,0,HLOOKUP("S6YD",A1:CV300,135,FALSE)/HLOOKUP("Shots",A1:CV300,135,FALSE))</f>
      </c>
      <c r="S135" t="n" s="15151">
        <v>0.0</v>
      </c>
      <c r="T135" s="15152">
        <f>IF(HLOOKUP("Shots",A1:CV300,135,FALSE)=0,0,HLOOKUP("Headers",A1:CV300,135,FALSE)/HLOOKUP("Shots",A1:CV300,135,FALSE))</f>
      </c>
      <c r="U135" t="n" s="15153">
        <v>0.0</v>
      </c>
      <c r="V135" s="15154">
        <f>IF(HLOOKUP("Shots",A1:CV300,135,FALSE)=0,0,HLOOKUP("SOT",A1:CV300,135,FALSE)/HLOOKUP("Shots",A1:CV300,135,FALSE))</f>
      </c>
      <c r="W135" s="15155">
        <f>IF(HLOOKUP("Shots",A1:CV300,135,FALSE)=0,0,HLOOKUP("Gs",A1:CV300,135,FALSE)/HLOOKUP("Shots",A1:CV300,135,FALSE))</f>
      </c>
      <c r="X135" t="n" s="15156">
        <v>0.0</v>
      </c>
      <c r="Y135" t="n" s="15157">
        <v>2.0</v>
      </c>
      <c r="Z135" t="n" s="15158">
        <v>4.0</v>
      </c>
      <c r="AA135" s="15159">
        <f>IF(HLOOKUP("KP",A1:CV300,135,FALSE)=0,0,HLOOKUP("As",A1:CV300,135,FALSE)/HLOOKUP("KP",A1:CV300,135,FALSE))</f>
      </c>
      <c r="AB135" t="n" s="15160">
        <v>13.6</v>
      </c>
      <c r="AC135" t="n" s="15161">
        <v>0.0</v>
      </c>
      <c r="AD135" t="n" s="15162">
        <v>1.0</v>
      </c>
      <c r="AE135" t="n" s="15163">
        <v>0.0</v>
      </c>
      <c r="AF135" t="n" s="15164">
        <v>0.0</v>
      </c>
      <c r="AG135" s="15165">
        <f>IF(HLOOKUP("BC",A1:CV300,135,FALSE)=0,0,HLOOKUP("Gs - BC",A1:CV300,135,FALSE)/HLOOKUP("BC",A1:CV300,135,FALSE))</f>
      </c>
      <c r="AH135" s="15166">
        <f>HLOOKUP("BC",A1:CV300,135,FALSE) - HLOOKUP("BC Miss",A1:CV300,135,FALSE)</f>
      </c>
      <c r="AI135" s="15167">
        <f>IF(HLOOKUP("Gs",A1:CV300,135,FALSE)=0,0,HLOOKUP("Gs - BC",A1:CV300,135,FALSE)/HLOOKUP("Gs",A1:CV300,135,FALSE))</f>
      </c>
      <c r="AJ135" t="n" s="15168">
        <v>0.0</v>
      </c>
      <c r="AK135" t="n" s="15169">
        <v>0.0</v>
      </c>
      <c r="AL135" s="15170">
        <f>HLOOKUP("BC",A1:CV300,135,FALSE) - (HLOOKUP("PK Gs",A1:CV300,135,FALSE) + HLOOKUP("PK Miss",A1:CV300,135,FALSE))</f>
      </c>
      <c r="AM135" s="15171">
        <f>HLOOKUP("BC Miss",A1:CV300,135,FALSE) - HLOOKUP("PK Miss",A1:CV300,135,FALSE)</f>
      </c>
      <c r="AN135" s="15172">
        <f>IF(HLOOKUP("BC - Open",A1:CV300,135,FALSE)=0,0,HLOOKUP("BC - Open Miss",A1:CV300,135,FALSE)/HLOOKUP("BC - Open",A1:CV300,135,FALSE))</f>
      </c>
      <c r="AO135" t="n" s="15173">
        <v>0.0</v>
      </c>
      <c r="AP135" s="15174">
        <f>IF(HLOOKUP("Gs",A1:CV300,135,FALSE)=0,0,HLOOKUP("GIB",A1:CV300,135,FALSE)/HLOOKUP("Gs",A1:CV300,135,FALSE))</f>
      </c>
      <c r="AQ135" t="n" s="15175">
        <v>0.0</v>
      </c>
      <c r="AR135" s="15176">
        <f>IF(HLOOKUP("Gs",A1:CV300,135,FALSE)=0,0,HLOOKUP("Gs - Open",A1:CV300,135,FALSE)/HLOOKUP("Gs",A1:CV300,135,FALSE))</f>
      </c>
      <c r="AS135" t="n" s="15177">
        <v>0.0</v>
      </c>
      <c r="AT135" t="n" s="15178">
        <v>0.23</v>
      </c>
      <c r="AU135" s="15179">
        <f>IF(HLOOKUP("Mins",A1:CV300,135,FALSE)=0,0,HLOOKUP("Pts",A1:CV300,135,FALSE)/HLOOKUP("Mins",A1:CV300,135,FALSE)* 90)</f>
      </c>
      <c r="AV135" s="15180">
        <f>IF(HLOOKUP("Apps",A1:CV300,135,FALSE)=0,0,HLOOKUP("Pts",A1:CV300,135,FALSE)/HLOOKUP("Apps",A1:CV300,135,FALSE)* 1)</f>
      </c>
      <c r="AW135" s="15181">
        <f>IF(HLOOKUP("Mins",A1:CV300,135,FALSE)=0,0,HLOOKUP("Gs",A1:CV300,135,FALSE)/HLOOKUP("Mins",A1:CV300,135,FALSE)* 90)</f>
      </c>
      <c r="AX135" s="15182">
        <f>IF(HLOOKUP("Mins",A1:CV300,135,FALSE)=0,0,HLOOKUP("Bonus",A1:CV300,135,FALSE)/HLOOKUP("Mins",A1:CV300,135,FALSE)* 90)</f>
      </c>
      <c r="AY135" s="15183">
        <f>IF(HLOOKUP("Mins",A1:CV300,135,FALSE)=0,0,HLOOKUP("BPS",A1:CV300,135,FALSE)/HLOOKUP("Mins",A1:CV300,135,FALSE)* 90)</f>
      </c>
      <c r="AZ135" s="15184">
        <f>IF(HLOOKUP("Mins",A1:CV300,135,FALSE)=0,0,HLOOKUP("Base BPS",A1:CV300,135,FALSE)/HLOOKUP("Mins",A1:CV300,135,FALSE)* 90)</f>
      </c>
      <c r="BA135" s="15185">
        <f>IF(HLOOKUP("Mins",A1:CV300,135,FALSE)=0,0,HLOOKUP("PenTchs",A1:CV300,135,FALSE)/HLOOKUP("Mins",A1:CV300,135,FALSE)* 90)</f>
      </c>
      <c r="BB135" s="15186">
        <f>IF(HLOOKUP("Mins",A1:CV300,135,FALSE)=0,0,HLOOKUP("Shots",A1:CV300,135,FALSE)/HLOOKUP("Mins",A1:CV300,135,FALSE)* 90)</f>
      </c>
      <c r="BC135" s="15187">
        <f>IF(HLOOKUP("Mins",A1:CV300,135,FALSE)=0,0,HLOOKUP("SIB",A1:CV300,135,FALSE)/HLOOKUP("Mins",A1:CV300,135,FALSE)* 90)</f>
      </c>
      <c r="BD135" s="15188">
        <f>IF(HLOOKUP("Mins",A1:CV300,135,FALSE)=0,0,HLOOKUP("S6YD",A1:CV300,135,FALSE)/HLOOKUP("Mins",A1:CV300,135,FALSE)* 90)</f>
      </c>
      <c r="BE135" s="15189">
        <f>IF(HLOOKUP("Mins",A1:CV300,135,FALSE)=0,0,HLOOKUP("Headers",A1:CV300,135,FALSE)/HLOOKUP("Mins",A1:CV300,135,FALSE)* 90)</f>
      </c>
      <c r="BF135" s="15190">
        <f>IF(HLOOKUP("Mins",A1:CV300,135,FALSE)=0,0,HLOOKUP("SOT",A1:CV300,135,FALSE)/HLOOKUP("Mins",A1:CV300,135,FALSE)* 90)</f>
      </c>
      <c r="BG135" s="15191">
        <f>IF(HLOOKUP("Mins",A1:CV300,135,FALSE)=0,0,HLOOKUP("As",A1:CV300,135,FALSE)/HLOOKUP("Mins",A1:CV300,135,FALSE)* 90)</f>
      </c>
      <c r="BH135" s="15192">
        <f>IF(HLOOKUP("Mins",A1:CV300,135,FALSE)=0,0,HLOOKUP("FPL As",A1:CV300,135,FALSE)/HLOOKUP("Mins",A1:CV300,135,FALSE)* 90)</f>
      </c>
      <c r="BI135" s="15193">
        <f>IF(HLOOKUP("Mins",A1:CV300,135,FALSE)=0,0,HLOOKUP("BC Created",A1:CV300,135,FALSE)/HLOOKUP("Mins",A1:CV300,135,FALSE)* 90)</f>
      </c>
      <c r="BJ135" s="15194">
        <f>IF(HLOOKUP("Mins",A1:CV300,135,FALSE)=0,0,HLOOKUP("KP",A1:CV300,135,FALSE)/HLOOKUP("Mins",A1:CV300,135,FALSE)* 90)</f>
      </c>
      <c r="BK135" s="15195">
        <f>IF(HLOOKUP("Mins",A1:CV300,135,FALSE)=0,0,HLOOKUP("BC",A1:CV300,135,FALSE)/HLOOKUP("Mins",A1:CV300,135,FALSE)* 90)</f>
      </c>
      <c r="BL135" s="15196">
        <f>IF(HLOOKUP("Mins",A1:CV300,135,FALSE)=0,0,HLOOKUP("BC Miss",A1:CV300,135,FALSE)/HLOOKUP("Mins",A1:CV300,135,FALSE)* 90)</f>
      </c>
      <c r="BM135" s="15197">
        <f>IF(HLOOKUP("Mins",A1:CV300,135,FALSE)=0,0,HLOOKUP("Gs - BC",A1:CV300,135,FALSE)/HLOOKUP("Mins",A1:CV300,135,FALSE)* 90)</f>
      </c>
      <c r="BN135" s="15198">
        <f>IF(HLOOKUP("Mins",A1:CV300,135,FALSE)=0,0,HLOOKUP("GIB",A1:CV300,135,FALSE)/HLOOKUP("Mins",A1:CV300,135,FALSE)* 90)</f>
      </c>
      <c r="BO135" s="15199">
        <f>IF(HLOOKUP("Mins",A1:CV300,135,FALSE)=0,0,HLOOKUP("Gs - Open",A1:CV300,135,FALSE)/HLOOKUP("Mins",A1:CV300,135,FALSE)* 90)</f>
      </c>
      <c r="BP135" s="15200">
        <f>IF(HLOOKUP("Mins",A1:CV300,135,FALSE)=0,0,HLOOKUP("ICT Index",A1:CV300,135,FALSE)/HLOOKUP("Mins",A1:CV300,135,FALSE)* 90)</f>
      </c>
      <c r="BQ135" s="15201">
        <f>IF(HLOOKUP("Mins",A1:CV300,135,FALSE)=0,0,(0.02*(HLOOKUP("Shots",A1:CV300,135,FALSE)-HLOOKUP("SIB",A1:CV300,135,FALSE))+0.093*(HLOOKUP("SIB",A1:CV300,135,FALSE)-(HLOOKUP("PK Gs",A1:CV300,135,FALSE)+HLOOKUP("PK Miss",A1:CV300,135,FALSE)))+0.75*(HLOOKUP("PK Gs",A1:CV300,135,FALSE)+HLOOKUP("PK Miss",A1:CV300,135,FALSE)))/HLOOKUP("Mins",A1:CV300,135,FALSE)*90)</f>
      </c>
      <c r="BR135" s="15202">
        <f>0.0825*HLOOKUP("KP/90",A1:CV300,135,FALSE)</f>
      </c>
      <c r="BS135" s="15203">
        <f>6*HLOOKUP("xG/90",A1:CV300,135,FALSE)+3*HLOOKUP("xA/90",A1:CV300,135,FALSE)</f>
      </c>
      <c r="BT135" s="15204">
        <f>HLOOKUP("xPts/90",A1:CV300,135,FALSE)-(6*0.75*(HLOOKUP("PK Gs",A1:CV300,135,FALSE)+HLOOKUP("PK Miss",A1:CV300,135,FALSE))*90/HLOOKUP("Mins",A1:CV300,135,FALSE))</f>
      </c>
      <c r="BU135" s="15205">
        <f>IF(HLOOKUP("Mins",A1:CV300,135,FALSE)=0,0,HLOOKUP("fsXG",A1:CV300,135,FALSE)/HLOOKUP("Mins",A1:CV300,135,FALSE)* 90)</f>
      </c>
      <c r="BV135" s="15206">
        <f>IF(HLOOKUP("Mins",A1:CV300,135,FALSE)=0,0,HLOOKUP("fsXA",A1:CV300,135,FALSE)/HLOOKUP("Mins",A1:CV300,135,FALSE)* 90)</f>
      </c>
      <c r="BW135" s="15207">
        <f>6*HLOOKUP("fsXG/90",A1:CV300,135,FALSE)+3*HLOOKUP("fsXA/90",A1:CV300,135,FALSE)</f>
      </c>
      <c r="BX135" t="n" s="15208">
        <v>0.0</v>
      </c>
      <c r="BY135" t="n" s="15209">
        <v>0.1151127815246582</v>
      </c>
      <c r="BZ135" s="15210">
        <f>6*HLOOKUP("uXG/90",A1:CV300,135,FALSE)+3*HLOOKUP("uXA/90",A1:CV300,135,FALSE)</f>
      </c>
    </row>
    <row r="136">
      <c r="A136" t="s" s="15211">
        <v>292</v>
      </c>
      <c r="B136" t="s" s="15212">
        <v>102</v>
      </c>
      <c r="C136" t="n" s="15213">
        <v>4.400000095367432</v>
      </c>
      <c r="D136" t="n" s="15214">
        <v>192.0</v>
      </c>
      <c r="E136" t="n" s="15215">
        <v>3.0</v>
      </c>
      <c r="F136" t="n" s="15216">
        <v>44.0</v>
      </c>
      <c r="G136" t="n" s="15217">
        <v>0.0</v>
      </c>
      <c r="H136" t="n" s="15218">
        <v>4.0</v>
      </c>
      <c r="I136" t="n" s="15219">
        <v>230.0</v>
      </c>
      <c r="J136" s="15220">
        <f>HLOOKUP("BPS",A1:CV300,136,FALSE)-((-6*HLOOKUP("OG",A1:CV300,136,FALSE))+(-6*HLOOKUP("PK Miss",A1:CV300,136,FALSE))+(9*HLOOKUP("FPL As",A1:CV300,136,FALSE))+(12*HLOOKUP("CS",A1:CV300,136,FALSE))+(12*HLOOKUP("Gs",A1:CV300,136,FALSE)))</f>
      </c>
      <c r="K136" t="n" s="15221">
        <v>1.0</v>
      </c>
      <c r="L136" t="n" s="15222">
        <v>5.0</v>
      </c>
      <c r="M136" t="n" s="15223">
        <v>2.0</v>
      </c>
      <c r="N136" t="n" s="15224">
        <v>0.0</v>
      </c>
      <c r="O136" t="n" s="15225">
        <v>0.0</v>
      </c>
      <c r="P136" s="15226">
        <f>IF(HLOOKUP("Shots",A1:CV300,136,FALSE)=0,0,HLOOKUP("SIB",A1:CV300,136,FALSE)/HLOOKUP("Shots",A1:CV300,136,FALSE))</f>
      </c>
      <c r="Q136" t="n" s="15227">
        <v>0.0</v>
      </c>
      <c r="R136" s="15228">
        <f>IF(HLOOKUP("Shots",A1:CV300,136,FALSE)=0,0,HLOOKUP("S6YD",A1:CV300,136,FALSE)/HLOOKUP("Shots",A1:CV300,136,FALSE))</f>
      </c>
      <c r="S136" t="n" s="15229">
        <v>0.0</v>
      </c>
      <c r="T136" s="15230">
        <f>IF(HLOOKUP("Shots",A1:CV300,136,FALSE)=0,0,HLOOKUP("Headers",A1:CV300,136,FALSE)/HLOOKUP("Shots",A1:CV300,136,FALSE))</f>
      </c>
      <c r="U136" t="n" s="15231">
        <v>0.0</v>
      </c>
      <c r="V136" s="15232">
        <f>IF(HLOOKUP("Shots",A1:CV300,136,FALSE)=0,0,HLOOKUP("SOT",A1:CV300,136,FALSE)/HLOOKUP("Shots",A1:CV300,136,FALSE))</f>
      </c>
      <c r="W136" s="15233">
        <f>IF(HLOOKUP("Shots",A1:CV300,136,FALSE)=0,0,HLOOKUP("Gs",A1:CV300,136,FALSE)/HLOOKUP("Shots",A1:CV300,136,FALSE))</f>
      </c>
      <c r="X136" t="n" s="15234">
        <v>0.0</v>
      </c>
      <c r="Y136" t="n" s="15235">
        <v>0.0</v>
      </c>
      <c r="Z136" t="n" s="15236">
        <v>3.0</v>
      </c>
      <c r="AA136" s="15237">
        <f>IF(HLOOKUP("KP",A1:CV300,136,FALSE)=0,0,HLOOKUP("As",A1:CV300,136,FALSE)/HLOOKUP("KP",A1:CV300,136,FALSE))</f>
      </c>
      <c r="AB136" t="n" s="15238">
        <v>8.4</v>
      </c>
      <c r="AC136" t="n" s="15239">
        <v>0.0</v>
      </c>
      <c r="AD136" t="n" s="15240">
        <v>0.0</v>
      </c>
      <c r="AE136" t="n" s="15241">
        <v>0.0</v>
      </c>
      <c r="AF136" t="n" s="15242">
        <v>0.0</v>
      </c>
      <c r="AG136" s="15243">
        <f>IF(HLOOKUP("BC",A1:CV300,136,FALSE)=0,0,HLOOKUP("Gs - BC",A1:CV300,136,FALSE)/HLOOKUP("BC",A1:CV300,136,FALSE))</f>
      </c>
      <c r="AH136" s="15244">
        <f>HLOOKUP("BC",A1:CV300,136,FALSE) - HLOOKUP("BC Miss",A1:CV300,136,FALSE)</f>
      </c>
      <c r="AI136" s="15245">
        <f>IF(HLOOKUP("Gs",A1:CV300,136,FALSE)=0,0,HLOOKUP("Gs - BC",A1:CV300,136,FALSE)/HLOOKUP("Gs",A1:CV300,136,FALSE))</f>
      </c>
      <c r="AJ136" t="n" s="15246">
        <v>0.0</v>
      </c>
      <c r="AK136" t="n" s="15247">
        <v>0.0</v>
      </c>
      <c r="AL136" s="15248">
        <f>HLOOKUP("BC",A1:CV300,136,FALSE) - (HLOOKUP("PK Gs",A1:CV300,136,FALSE) + HLOOKUP("PK Miss",A1:CV300,136,FALSE))</f>
      </c>
      <c r="AM136" s="15249">
        <f>HLOOKUP("BC Miss",A1:CV300,136,FALSE) - HLOOKUP("PK Miss",A1:CV300,136,FALSE)</f>
      </c>
      <c r="AN136" s="15250">
        <f>IF(HLOOKUP("BC - Open",A1:CV300,136,FALSE)=0,0,HLOOKUP("BC - Open Miss",A1:CV300,136,FALSE)/HLOOKUP("BC - Open",A1:CV300,136,FALSE))</f>
      </c>
      <c r="AO136" t="n" s="15251">
        <v>0.0</v>
      </c>
      <c r="AP136" s="15252">
        <f>IF(HLOOKUP("Gs",A1:CV300,136,FALSE)=0,0,HLOOKUP("GIB",A1:CV300,136,FALSE)/HLOOKUP("Gs",A1:CV300,136,FALSE))</f>
      </c>
      <c r="AQ136" t="n" s="15253">
        <v>0.0</v>
      </c>
      <c r="AR136" s="15254">
        <f>IF(HLOOKUP("Gs",A1:CV300,136,FALSE)=0,0,HLOOKUP("Gs - Open",A1:CV300,136,FALSE)/HLOOKUP("Gs",A1:CV300,136,FALSE))</f>
      </c>
      <c r="AS136" t="n" s="15255">
        <v>0.0</v>
      </c>
      <c r="AT136" t="n" s="15256">
        <v>0.12</v>
      </c>
      <c r="AU136" s="15257">
        <f>IF(HLOOKUP("Mins",A1:CV300,136,FALSE)=0,0,HLOOKUP("Pts",A1:CV300,136,FALSE)/HLOOKUP("Mins",A1:CV300,136,FALSE)* 90)</f>
      </c>
      <c r="AV136" s="15258">
        <f>IF(HLOOKUP("Apps",A1:CV300,136,FALSE)=0,0,HLOOKUP("Pts",A1:CV300,136,FALSE)/HLOOKUP("Apps",A1:CV300,136,FALSE)* 1)</f>
      </c>
      <c r="AW136" s="15259">
        <f>IF(HLOOKUP("Mins",A1:CV300,136,FALSE)=0,0,HLOOKUP("Gs",A1:CV300,136,FALSE)/HLOOKUP("Mins",A1:CV300,136,FALSE)* 90)</f>
      </c>
      <c r="AX136" s="15260">
        <f>IF(HLOOKUP("Mins",A1:CV300,136,FALSE)=0,0,HLOOKUP("Bonus",A1:CV300,136,FALSE)/HLOOKUP("Mins",A1:CV300,136,FALSE)* 90)</f>
      </c>
      <c r="AY136" s="15261">
        <f>IF(HLOOKUP("Mins",A1:CV300,136,FALSE)=0,0,HLOOKUP("BPS",A1:CV300,136,FALSE)/HLOOKUP("Mins",A1:CV300,136,FALSE)* 90)</f>
      </c>
      <c r="AZ136" s="15262">
        <f>IF(HLOOKUP("Mins",A1:CV300,136,FALSE)=0,0,HLOOKUP("Base BPS",A1:CV300,136,FALSE)/HLOOKUP("Mins",A1:CV300,136,FALSE)* 90)</f>
      </c>
      <c r="BA136" s="15263">
        <f>IF(HLOOKUP("Mins",A1:CV300,136,FALSE)=0,0,HLOOKUP("PenTchs",A1:CV300,136,FALSE)/HLOOKUP("Mins",A1:CV300,136,FALSE)* 90)</f>
      </c>
      <c r="BB136" s="15264">
        <f>IF(HLOOKUP("Mins",A1:CV300,136,FALSE)=0,0,HLOOKUP("Shots",A1:CV300,136,FALSE)/HLOOKUP("Mins",A1:CV300,136,FALSE)* 90)</f>
      </c>
      <c r="BC136" s="15265">
        <f>IF(HLOOKUP("Mins",A1:CV300,136,FALSE)=0,0,HLOOKUP("SIB",A1:CV300,136,FALSE)/HLOOKUP("Mins",A1:CV300,136,FALSE)* 90)</f>
      </c>
      <c r="BD136" s="15266">
        <f>IF(HLOOKUP("Mins",A1:CV300,136,FALSE)=0,0,HLOOKUP("S6YD",A1:CV300,136,FALSE)/HLOOKUP("Mins",A1:CV300,136,FALSE)* 90)</f>
      </c>
      <c r="BE136" s="15267">
        <f>IF(HLOOKUP("Mins",A1:CV300,136,FALSE)=0,0,HLOOKUP("Headers",A1:CV300,136,FALSE)/HLOOKUP("Mins",A1:CV300,136,FALSE)* 90)</f>
      </c>
      <c r="BF136" s="15268">
        <f>IF(HLOOKUP("Mins",A1:CV300,136,FALSE)=0,0,HLOOKUP("SOT",A1:CV300,136,FALSE)/HLOOKUP("Mins",A1:CV300,136,FALSE)* 90)</f>
      </c>
      <c r="BG136" s="15269">
        <f>IF(HLOOKUP("Mins",A1:CV300,136,FALSE)=0,0,HLOOKUP("As",A1:CV300,136,FALSE)/HLOOKUP("Mins",A1:CV300,136,FALSE)* 90)</f>
      </c>
      <c r="BH136" s="15270">
        <f>IF(HLOOKUP("Mins",A1:CV300,136,FALSE)=0,0,HLOOKUP("FPL As",A1:CV300,136,FALSE)/HLOOKUP("Mins",A1:CV300,136,FALSE)* 90)</f>
      </c>
      <c r="BI136" s="15271">
        <f>IF(HLOOKUP("Mins",A1:CV300,136,FALSE)=0,0,HLOOKUP("BC Created",A1:CV300,136,FALSE)/HLOOKUP("Mins",A1:CV300,136,FALSE)* 90)</f>
      </c>
      <c r="BJ136" s="15272">
        <f>IF(HLOOKUP("Mins",A1:CV300,136,FALSE)=0,0,HLOOKUP("KP",A1:CV300,136,FALSE)/HLOOKUP("Mins",A1:CV300,136,FALSE)* 90)</f>
      </c>
      <c r="BK136" s="15273">
        <f>IF(HLOOKUP("Mins",A1:CV300,136,FALSE)=0,0,HLOOKUP("BC",A1:CV300,136,FALSE)/HLOOKUP("Mins",A1:CV300,136,FALSE)* 90)</f>
      </c>
      <c r="BL136" s="15274">
        <f>IF(HLOOKUP("Mins",A1:CV300,136,FALSE)=0,0,HLOOKUP("BC Miss",A1:CV300,136,FALSE)/HLOOKUP("Mins",A1:CV300,136,FALSE)* 90)</f>
      </c>
      <c r="BM136" s="15275">
        <f>IF(HLOOKUP("Mins",A1:CV300,136,FALSE)=0,0,HLOOKUP("Gs - BC",A1:CV300,136,FALSE)/HLOOKUP("Mins",A1:CV300,136,FALSE)* 90)</f>
      </c>
      <c r="BN136" s="15276">
        <f>IF(HLOOKUP("Mins",A1:CV300,136,FALSE)=0,0,HLOOKUP("GIB",A1:CV300,136,FALSE)/HLOOKUP("Mins",A1:CV300,136,FALSE)* 90)</f>
      </c>
      <c r="BO136" s="15277">
        <f>IF(HLOOKUP("Mins",A1:CV300,136,FALSE)=0,0,HLOOKUP("Gs - Open",A1:CV300,136,FALSE)/HLOOKUP("Mins",A1:CV300,136,FALSE)* 90)</f>
      </c>
      <c r="BP136" s="15278">
        <f>IF(HLOOKUP("Mins",A1:CV300,136,FALSE)=0,0,HLOOKUP("ICT Index",A1:CV300,136,FALSE)/HLOOKUP("Mins",A1:CV300,136,FALSE)* 90)</f>
      </c>
      <c r="BQ136" s="15279">
        <f>IF(HLOOKUP("Mins",A1:CV300,136,FALSE)=0,0,(0.02*(HLOOKUP("Shots",A1:CV300,136,FALSE)-HLOOKUP("SIB",A1:CV300,136,FALSE))+0.093*(HLOOKUP("SIB",A1:CV300,136,FALSE)-(HLOOKUP("PK Gs",A1:CV300,136,FALSE)+HLOOKUP("PK Miss",A1:CV300,136,FALSE)))+0.75*(HLOOKUP("PK Gs",A1:CV300,136,FALSE)+HLOOKUP("PK Miss",A1:CV300,136,FALSE)))/HLOOKUP("Mins",A1:CV300,136,FALSE)*90)</f>
      </c>
      <c r="BR136" s="15280">
        <f>0.0825*HLOOKUP("KP/90",A1:CV300,136,FALSE)</f>
      </c>
      <c r="BS136" s="15281">
        <f>6*HLOOKUP("xG/90",A1:CV300,136,FALSE)+3*HLOOKUP("xA/90",A1:CV300,136,FALSE)</f>
      </c>
      <c r="BT136" s="15282">
        <f>HLOOKUP("xPts/90",A1:CV300,136,FALSE)-(6*0.75*(HLOOKUP("PK Gs",A1:CV300,136,FALSE)+HLOOKUP("PK Miss",A1:CV300,136,FALSE))*90/HLOOKUP("Mins",A1:CV300,136,FALSE))</f>
      </c>
      <c r="BU136" s="15283">
        <f>IF(HLOOKUP("Mins",A1:CV300,136,FALSE)=0,0,HLOOKUP("fsXG",A1:CV300,136,FALSE)/HLOOKUP("Mins",A1:CV300,136,FALSE)* 90)</f>
      </c>
      <c r="BV136" s="15284">
        <f>IF(HLOOKUP("Mins",A1:CV300,136,FALSE)=0,0,HLOOKUP("fsXA",A1:CV300,136,FALSE)/HLOOKUP("Mins",A1:CV300,136,FALSE)* 90)</f>
      </c>
      <c r="BW136" s="15285">
        <f>6*HLOOKUP("fsXG/90",A1:CV300,136,FALSE)+3*HLOOKUP("fsXA/90",A1:CV300,136,FALSE)</f>
      </c>
      <c r="BX136" t="n" s="15286">
        <v>0.0</v>
      </c>
      <c r="BY136" t="n" s="15287">
        <v>0.08687096834182739</v>
      </c>
      <c r="BZ136" s="15288">
        <f>6*HLOOKUP("uXG/90",A1:CV300,136,FALSE)+3*HLOOKUP("uXA/90",A1:CV300,136,FALSE)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5289">
        <v>1</v>
      </c>
      <c r="B1" t="s" s="15290">
        <v>2</v>
      </c>
      <c r="C1" t="s" s="15291">
        <v>3</v>
      </c>
      <c r="D1" t="s" s="15292">
        <v>4</v>
      </c>
      <c r="E1" t="s" s="15293">
        <v>5</v>
      </c>
      <c r="F1" t="s" s="15294">
        <v>6</v>
      </c>
      <c r="G1" t="s" s="15295">
        <v>7</v>
      </c>
      <c r="H1" t="s" s="15296">
        <v>8</v>
      </c>
      <c r="I1" t="s" s="15297">
        <v>9</v>
      </c>
      <c r="J1" t="s" s="15298">
        <v>10</v>
      </c>
      <c r="K1" t="s" s="15299">
        <v>11</v>
      </c>
      <c r="L1" t="s" s="15300">
        <v>12</v>
      </c>
      <c r="M1" t="s" s="15301">
        <v>13</v>
      </c>
      <c r="N1" t="s" s="15302">
        <v>14</v>
      </c>
      <c r="O1" t="s" s="15303">
        <v>15</v>
      </c>
      <c r="P1" t="s" s="15304">
        <v>16</v>
      </c>
      <c r="Q1" t="s" s="15305">
        <v>17</v>
      </c>
      <c r="R1" t="s" s="15306">
        <v>18</v>
      </c>
      <c r="S1" t="s" s="15307">
        <v>19</v>
      </c>
      <c r="T1" t="s" s="15308">
        <v>20</v>
      </c>
      <c r="U1" t="s" s="15309">
        <v>21</v>
      </c>
      <c r="V1" t="s" s="15310">
        <v>22</v>
      </c>
      <c r="W1" t="s" s="15311">
        <v>23</v>
      </c>
      <c r="X1" t="s" s="15312">
        <v>24</v>
      </c>
      <c r="Y1" t="s" s="15313">
        <v>25</v>
      </c>
      <c r="Z1" t="s" s="15314">
        <v>26</v>
      </c>
      <c r="AA1" t="s" s="15315">
        <v>27</v>
      </c>
      <c r="AB1" t="s" s="15316">
        <v>28</v>
      </c>
      <c r="AC1" t="s" s="15317">
        <v>29</v>
      </c>
      <c r="AD1" t="s" s="15318">
        <v>30</v>
      </c>
      <c r="AE1" t="s" s="15319">
        <v>31</v>
      </c>
      <c r="AF1" t="s" s="15320">
        <v>32</v>
      </c>
      <c r="AG1" t="s" s="15321">
        <v>33</v>
      </c>
      <c r="AH1" t="s" s="15322">
        <v>34</v>
      </c>
      <c r="AI1" t="s" s="15323">
        <v>35</v>
      </c>
      <c r="AJ1" t="s" s="15324">
        <v>36</v>
      </c>
      <c r="AK1" t="s" s="15325">
        <v>37</v>
      </c>
      <c r="AL1" t="s" s="15326">
        <v>38</v>
      </c>
      <c r="AM1" t="s" s="15327">
        <v>39</v>
      </c>
      <c r="AN1" t="s" s="15328">
        <v>40</v>
      </c>
      <c r="AO1" t="s" s="15329">
        <v>41</v>
      </c>
      <c r="AP1" t="s" s="15330">
        <v>42</v>
      </c>
      <c r="AQ1" t="s" s="15331">
        <v>43</v>
      </c>
      <c r="AR1" t="s" s="15332">
        <v>44</v>
      </c>
      <c r="AS1" t="s" s="15333">
        <v>45</v>
      </c>
      <c r="AT1" t="s" s="15334">
        <v>46</v>
      </c>
      <c r="AU1" t="s" s="15335">
        <v>47</v>
      </c>
      <c r="AV1" t="s" s="15336">
        <v>48</v>
      </c>
      <c r="AW1" t="s" s="15337">
        <v>49</v>
      </c>
      <c r="AX1" t="s" s="15338">
        <v>50</v>
      </c>
      <c r="AY1" t="s" s="15339">
        <v>51</v>
      </c>
      <c r="AZ1" t="s" s="15340">
        <v>52</v>
      </c>
      <c r="BA1" t="s" s="15341">
        <v>53</v>
      </c>
      <c r="BB1" t="s" s="15342">
        <v>54</v>
      </c>
      <c r="BC1" t="s" s="15343">
        <v>55</v>
      </c>
      <c r="BD1" t="s" s="15344">
        <v>56</v>
      </c>
      <c r="BE1" t="s" s="15345">
        <v>57</v>
      </c>
      <c r="BF1" t="s" s="15346">
        <v>58</v>
      </c>
      <c r="BG1" t="s" s="15347">
        <v>59</v>
      </c>
      <c r="BH1" t="s" s="15348">
        <v>60</v>
      </c>
      <c r="BI1" t="s" s="15349">
        <v>61</v>
      </c>
      <c r="BJ1" t="s" s="15350">
        <v>62</v>
      </c>
      <c r="BK1" t="s" s="15351">
        <v>63</v>
      </c>
      <c r="BL1" t="s" s="15352">
        <v>64</v>
      </c>
      <c r="BM1" t="s" s="15353">
        <v>65</v>
      </c>
      <c r="BN1" t="s" s="15354">
        <v>66</v>
      </c>
      <c r="BO1" t="s" s="15355">
        <v>67</v>
      </c>
      <c r="BP1" t="s" s="15356">
        <v>68</v>
      </c>
      <c r="BQ1" t="s" s="15357">
        <v>69</v>
      </c>
      <c r="BR1" t="s" s="15358">
        <v>70</v>
      </c>
      <c r="BS1" t="s" s="15359">
        <v>71</v>
      </c>
      <c r="BT1" t="s" s="15360">
        <v>72</v>
      </c>
      <c r="BU1" t="s" s="15361">
        <v>73</v>
      </c>
      <c r="BV1" t="s" s="15362">
        <v>74</v>
      </c>
      <c r="BW1" t="s" s="15363">
        <v>75</v>
      </c>
      <c r="BX1" t="s" s="15364">
        <v>76</v>
      </c>
      <c r="BY1" t="s" s="15365">
        <v>77</v>
      </c>
      <c r="BZ1" t="s" s="15366">
        <v>78</v>
      </c>
    </row>
    <row r="2">
      <c r="A2" t="s" s="15367">
        <v>293</v>
      </c>
      <c r="B2" t="s" s="15368">
        <v>80</v>
      </c>
      <c r="C2" t="n" s="15369">
        <v>5.099999904632568</v>
      </c>
      <c r="D2" t="n" s="15370">
        <v>360.0</v>
      </c>
      <c r="E2" t="n" s="15371">
        <v>4.0</v>
      </c>
      <c r="F2" t="n" s="15372">
        <v>35.0</v>
      </c>
      <c r="G2" t="n" s="15373">
        <v>0.0</v>
      </c>
      <c r="H2" t="n" s="15374">
        <v>0.0</v>
      </c>
      <c r="I2" t="n" s="15375">
        <v>202.0</v>
      </c>
      <c r="J2" s="15376">
        <f>HLOOKUP("BPS",A1:CV300,2,FALSE)-((-6*HLOOKUP("OG",A1:CV300,2,FALSE))+(-6*HLOOKUP("PK Miss",A1:CV300,2,FALSE))+(9*HLOOKUP("FPL As",A1:CV300,2,FALSE))+(0*HLOOKUP("CS",A1:CV300,2,FALSE))+(18*HLOOKUP("Gs",A1:CV300,2,FALSE)))</f>
      </c>
      <c r="K2" t="n" s="15377">
        <v>0.0</v>
      </c>
      <c r="L2" t="n" s="15378">
        <v>4.0</v>
      </c>
      <c r="M2" t="n" s="15379">
        <v>3.0</v>
      </c>
      <c r="N2" t="n" s="15380">
        <v>1.0</v>
      </c>
      <c r="O2" t="n" s="15381">
        <v>1.0</v>
      </c>
      <c r="P2" s="15382">
        <f>IF(HLOOKUP("Shots",A1:CV300,2,FALSE)=0,0,HLOOKUP("SIB",A1:CV300,2,FALSE)/HLOOKUP("Shots",A1:CV300,2,FALSE))</f>
      </c>
      <c r="Q2" t="n" s="15383">
        <v>0.0</v>
      </c>
      <c r="R2" s="15384">
        <f>IF(HLOOKUP("Shots",A1:CV300,2,FALSE)=0,0,HLOOKUP("S6YD",A1:CV300,2,FALSE)/HLOOKUP("Shots",A1:CV300,2,FALSE))</f>
      </c>
      <c r="S2" t="n" s="15385">
        <v>0.0</v>
      </c>
      <c r="T2" s="15386">
        <f>IF(HLOOKUP("Shots",A1:CV300,2,FALSE)=0,0,HLOOKUP("Headers",A1:CV300,2,FALSE)/HLOOKUP("Shots",A1:CV300,2,FALSE))</f>
      </c>
      <c r="U2" t="n" s="15387">
        <v>0.0</v>
      </c>
      <c r="V2" s="15388">
        <f>IF(HLOOKUP("Shots",A1:CV300,2,FALSE)=0,0,HLOOKUP("SOT",A1:CV300,2,FALSE)/HLOOKUP("Shots",A1:CV300,2,FALSE))</f>
      </c>
      <c r="W2" s="15389">
        <f>IF(HLOOKUP("Shots",A1:CV300,2,FALSE)=0,0,HLOOKUP("Gs",A1:CV300,2,FALSE)/HLOOKUP("Shots",A1:CV300,2,FALSE))</f>
      </c>
      <c r="X2" t="n" s="15390">
        <v>0.0</v>
      </c>
      <c r="Y2" t="n" s="15391">
        <v>1.0</v>
      </c>
      <c r="Z2" t="n" s="15392">
        <v>3.0</v>
      </c>
      <c r="AA2" s="15393">
        <f>IF(HLOOKUP("KP",A1:CV300,2,FALSE)=0,0,HLOOKUP("As",A1:CV300,2,FALSE)/HLOOKUP("KP",A1:CV300,2,FALSE))</f>
      </c>
      <c r="AB2" s="15394"/>
      <c r="AC2" t="n" s="15395">
        <v>0.0</v>
      </c>
      <c r="AD2" t="n" s="15396">
        <v>0.0</v>
      </c>
      <c r="AE2" t="n" s="15397">
        <v>0.0</v>
      </c>
      <c r="AF2" t="n" s="15398">
        <v>0.0</v>
      </c>
      <c r="AG2" s="15399">
        <f>IF(HLOOKUP("BC",A1:CV300,2,FALSE)=0,0,HLOOKUP("Gs - BC",A1:CV300,2,FALSE)/HLOOKUP("BC",A1:CV300,2,FALSE))</f>
      </c>
      <c r="AH2" s="15400">
        <f>HLOOKUP("BC",A1:CV300,2,FALSE) - HLOOKUP("BC Miss",A1:CV300,2,FALSE)</f>
      </c>
      <c r="AI2" s="15401">
        <f>IF(HLOOKUP("Gs",A1:CV300,2,FALSE)=0,0,HLOOKUP("Gs - BC",A1:CV300,2,FALSE)/HLOOKUP("Gs",A1:CV300,2,FALSE))</f>
      </c>
      <c r="AJ2" t="n" s="15402">
        <v>0.0</v>
      </c>
      <c r="AK2" t="n" s="15403">
        <v>0.0</v>
      </c>
      <c r="AL2" s="15404">
        <f>HLOOKUP("BC",A1:CV300,2,FALSE) - (HLOOKUP("PK Gs",A1:CV300,2,FALSE) + HLOOKUP("PK Miss",A1:CV300,2,FALSE))</f>
      </c>
      <c r="AM2" s="15405">
        <f>HLOOKUP("BC Miss",A1:CV300,2,FALSE) - HLOOKUP("PK Miss",A1:CV300,2,FALSE)</f>
      </c>
      <c r="AN2" s="15406">
        <f>IF(HLOOKUP("BC - Open",A1:CV300,2,FALSE)=0,0,HLOOKUP("BC - Open Miss",A1:CV300,2,FALSE)/HLOOKUP("BC - Open",A1:CV300,2,FALSE))</f>
      </c>
      <c r="AO2" t="n" s="15407">
        <v>0.0</v>
      </c>
      <c r="AP2" s="15408">
        <f>IF(HLOOKUP("Gs",A1:CV300,2,FALSE)=0,0,HLOOKUP("GIB",A1:CV300,2,FALSE)/HLOOKUP("Gs",A1:CV300,2,FALSE))</f>
      </c>
      <c r="AQ2" t="n" s="15409">
        <v>0.0</v>
      </c>
      <c r="AR2" s="15410">
        <f>IF(HLOOKUP("Gs",A1:CV300,2,FALSE)=0,0,HLOOKUP("Gs - Open",A1:CV300,2,FALSE)/HLOOKUP("Gs",A1:CV300,2,FALSE))</f>
      </c>
      <c r="AS2" t="n" s="15411">
        <v>0.03</v>
      </c>
      <c r="AT2" t="n" s="15412">
        <v>0.22</v>
      </c>
      <c r="AU2" s="15413">
        <f>IF(HLOOKUP("Mins",A1:CV300,2,FALSE)=0,0,HLOOKUP("Pts",A1:CV300,2,FALSE)/HLOOKUP("Mins",A1:CV300,2,FALSE)* 90)</f>
      </c>
      <c r="AV2" s="15414">
        <f>IF(HLOOKUP("Apps",A1:CV300,2,FALSE)=0,0,HLOOKUP("Pts",A1:CV300,2,FALSE)/HLOOKUP("Apps",A1:CV300,2,FALSE)* 1)</f>
      </c>
      <c r="AW2" s="15415">
        <f>IF(HLOOKUP("Mins",A1:CV300,2,FALSE)=0,0,HLOOKUP("Gs",A1:CV300,2,FALSE)/HLOOKUP("Mins",A1:CV300,2,FALSE)* 90)</f>
      </c>
      <c r="AX2" s="15416">
        <f>IF(HLOOKUP("Mins",A1:CV300,2,FALSE)=0,0,HLOOKUP("Bonus",A1:CV300,2,FALSE)/HLOOKUP("Mins",A1:CV300,2,FALSE)* 90)</f>
      </c>
      <c r="AY2" s="15417">
        <f>IF(HLOOKUP("Mins",A1:CV300,2,FALSE)=0,0,HLOOKUP("BPS",A1:CV300,2,FALSE)/HLOOKUP("Mins",A1:CV300,2,FALSE)* 90)</f>
      </c>
      <c r="AZ2" s="15418">
        <f>IF(HLOOKUP("Mins",A1:CV300,2,FALSE)=0,0,HLOOKUP("Base BPS",A1:CV300,2,FALSE)/HLOOKUP("Mins",A1:CV300,2,FALSE)* 90)</f>
      </c>
      <c r="BA2" s="15419">
        <f>IF(HLOOKUP("Mins",A1:CV300,2,FALSE)=0,0,HLOOKUP("PenTchs",A1:CV300,2,FALSE)/HLOOKUP("Mins",A1:CV300,2,FALSE)* 90)</f>
      </c>
      <c r="BB2" s="15420">
        <f>IF(HLOOKUP("Mins",A1:CV300,2,FALSE)=0,0,HLOOKUP("Shots",A1:CV300,2,FALSE)/HLOOKUP("Mins",A1:CV300,2,FALSE)* 90)</f>
      </c>
      <c r="BC2" s="15421">
        <f>IF(HLOOKUP("Mins",A1:CV300,2,FALSE)=0,0,HLOOKUP("SIB",A1:CV300,2,FALSE)/HLOOKUP("Mins",A1:CV300,2,FALSE)* 90)</f>
      </c>
      <c r="BD2" s="15422">
        <f>IF(HLOOKUP("Mins",A1:CV300,2,FALSE)=0,0,HLOOKUP("S6YD",A1:CV300,2,FALSE)/HLOOKUP("Mins",A1:CV300,2,FALSE)* 90)</f>
      </c>
      <c r="BE2" s="15423">
        <f>IF(HLOOKUP("Mins",A1:CV300,2,FALSE)=0,0,HLOOKUP("Headers",A1:CV300,2,FALSE)/HLOOKUP("Mins",A1:CV300,2,FALSE)* 90)</f>
      </c>
      <c r="BF2" s="15424">
        <f>IF(HLOOKUP("Mins",A1:CV300,2,FALSE)=0,0,HLOOKUP("SOT",A1:CV300,2,FALSE)/HLOOKUP("Mins",A1:CV300,2,FALSE)* 90)</f>
      </c>
      <c r="BG2" s="15425">
        <f>IF(HLOOKUP("Mins",A1:CV300,2,FALSE)=0,0,HLOOKUP("As",A1:CV300,2,FALSE)/HLOOKUP("Mins",A1:CV300,2,FALSE)* 90)</f>
      </c>
      <c r="BH2" s="15426">
        <f>IF(HLOOKUP("Mins",A1:CV300,2,FALSE)=0,0,HLOOKUP("FPL As",A1:CV300,2,FALSE)/HLOOKUP("Mins",A1:CV300,2,FALSE)* 90)</f>
      </c>
      <c r="BI2" s="15427">
        <f>IF(HLOOKUP("Mins",A1:CV300,2,FALSE)=0,0,HLOOKUP("BC Created",A1:CV300,2,FALSE)/HLOOKUP("Mins",A1:CV300,2,FALSE)* 90)</f>
      </c>
      <c r="BJ2" s="15428">
        <f>IF(HLOOKUP("Mins",A1:CV300,2,FALSE)=0,0,HLOOKUP("KP",A1:CV300,2,FALSE)/HLOOKUP("Mins",A1:CV300,2,FALSE)* 90)</f>
      </c>
      <c r="BK2" s="15429">
        <f>IF(HLOOKUP("Mins",A1:CV300,2,FALSE)=0,0,HLOOKUP("BC",A1:CV300,2,FALSE)/HLOOKUP("Mins",A1:CV300,2,FALSE)* 90)</f>
      </c>
      <c r="BL2" s="15430">
        <f>IF(HLOOKUP("Mins",A1:CV300,2,FALSE)=0,0,HLOOKUP("BC Miss",A1:CV300,2,FALSE)/HLOOKUP("Mins",A1:CV300,2,FALSE)* 90)</f>
      </c>
      <c r="BM2" s="15431">
        <f>IF(HLOOKUP("Mins",A1:CV300,2,FALSE)=0,0,HLOOKUP("Gs - BC",A1:CV300,2,FALSE)/HLOOKUP("Mins",A1:CV300,2,FALSE)* 90)</f>
      </c>
      <c r="BN2" s="15432">
        <f>IF(HLOOKUP("Mins",A1:CV300,2,FALSE)=0,0,HLOOKUP("GIB",A1:CV300,2,FALSE)/HLOOKUP("Mins",A1:CV300,2,FALSE)* 90)</f>
      </c>
      <c r="BO2" s="15433">
        <f>IF(HLOOKUP("Mins",A1:CV300,2,FALSE)=0,0,HLOOKUP("Gs - Open",A1:CV300,2,FALSE)/HLOOKUP("Mins",A1:CV300,2,FALSE)* 90)</f>
      </c>
      <c r="BP2" s="15434">
        <f>IF(HLOOKUP("Mins",A1:CV300,2,FALSE)=0,0,HLOOKUP("ICT Index",A1:CV300,2,FALSE)/HLOOKUP("Mins",A1:CV300,2,FALSE)* 90)</f>
      </c>
      <c r="BQ2" s="15435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5436">
        <f>0.0885*HLOOKUP("KP/90",A1:CV300,2,FALSE)</f>
      </c>
      <c r="BS2" s="15437">
        <f>5*HLOOKUP("xG/90",A1:CV300,2,FALSE)+3*HLOOKUP("xA/90",A1:CV300,2,FALSE)</f>
      </c>
      <c r="BT2" s="15438">
        <f>HLOOKUP("xPts/90",A1:CV300,2,FALSE)-(5*0.75*(HLOOKUP("PK Gs",A1:CV300,2,FALSE)+HLOOKUP("PK Miss",A1:CV300,2,FALSE))*90/HLOOKUP("Mins",A1:CV300,2,FALSE))</f>
      </c>
      <c r="BU2" s="15439">
        <f>IF(HLOOKUP("Mins",A1:CV300,2,FALSE)=0,0,HLOOKUP("fsXG",A1:CV300,2,FALSE)/HLOOKUP("Mins",A1:CV300,2,FALSE)* 90)</f>
      </c>
      <c r="BV2" s="15440">
        <f>IF(HLOOKUP("Mins",A1:CV300,2,FALSE)=0,0,HLOOKUP("fsXA",A1:CV300,2,FALSE)/HLOOKUP("Mins",A1:CV300,2,FALSE)* 90)</f>
      </c>
      <c r="BW2" s="15441">
        <f>5*HLOOKUP("fsXG/90",A1:CV300,2,FALSE)+3*HLOOKUP("fsXA/90",A1:CV300,2,FALSE)</f>
      </c>
      <c r="BX2" t="n" s="15442">
        <v>0.009271245449781418</v>
      </c>
      <c r="BY2" t="n" s="15443">
        <v>0.03708633407950401</v>
      </c>
      <c r="BZ2" s="15444">
        <f>5*HLOOKUP("uXG/90",A1:CV300,2,FALSE)+3*HLOOKUP("uXA/90",A1:CV300,2,FALSE)</f>
      </c>
    </row>
    <row r="3">
      <c r="A3" t="s" s="15445">
        <v>294</v>
      </c>
      <c r="B3" t="s" s="15446">
        <v>90</v>
      </c>
      <c r="C3" t="n" s="15447">
        <v>4.5</v>
      </c>
      <c r="D3" t="n" s="15448">
        <v>25.0</v>
      </c>
      <c r="E3" t="n" s="15449">
        <v>1.0</v>
      </c>
      <c r="F3" t="n" s="15450">
        <v>18.0</v>
      </c>
      <c r="G3" t="n" s="15451">
        <v>0.0</v>
      </c>
      <c r="H3" t="n" s="15452">
        <v>0.0</v>
      </c>
      <c r="I3" t="n" s="15453">
        <v>122.0</v>
      </c>
      <c r="J3" s="15454">
        <f>HLOOKUP("BPS",A1:CV300,3,FALSE)-((-6*HLOOKUP("OG",A1:CV300,3,FALSE))+(-6*HLOOKUP("PK Miss",A1:CV300,3,FALSE))+(9*HLOOKUP("FPL As",A1:CV300,3,FALSE))+(0*HLOOKUP("CS",A1:CV300,3,FALSE))+(18*HLOOKUP("Gs",A1:CV300,3,FALSE)))</f>
      </c>
      <c r="K3" t="n" s="15455">
        <v>0.0</v>
      </c>
      <c r="L3" t="n" s="15456">
        <v>1.0</v>
      </c>
      <c r="M3" t="n" s="15457">
        <v>0.0</v>
      </c>
      <c r="N3" t="n" s="15458">
        <v>1.0</v>
      </c>
      <c r="O3" t="n" s="15459">
        <v>0.0</v>
      </c>
      <c r="P3" s="15460">
        <f>IF(HLOOKUP("Shots",A1:CV300,3,FALSE)=0,0,HLOOKUP("SIB",A1:CV300,3,FALSE)/HLOOKUP("Shots",A1:CV300,3,FALSE))</f>
      </c>
      <c r="Q3" t="n" s="15461">
        <v>0.0</v>
      </c>
      <c r="R3" s="15462">
        <f>IF(HLOOKUP("Shots",A1:CV300,3,FALSE)=0,0,HLOOKUP("S6YD",A1:CV300,3,FALSE)/HLOOKUP("Shots",A1:CV300,3,FALSE))</f>
      </c>
      <c r="S3" t="n" s="15463">
        <v>0.0</v>
      </c>
      <c r="T3" s="15464">
        <f>IF(HLOOKUP("Shots",A1:CV300,3,FALSE)=0,0,HLOOKUP("Headers",A1:CV300,3,FALSE)/HLOOKUP("Shots",A1:CV300,3,FALSE))</f>
      </c>
      <c r="U3" t="n" s="15465">
        <v>1.0</v>
      </c>
      <c r="V3" s="15466">
        <f>IF(HLOOKUP("Shots",A1:CV300,3,FALSE)=0,0,HLOOKUP("SOT",A1:CV300,3,FALSE)/HLOOKUP("Shots",A1:CV300,3,FALSE))</f>
      </c>
      <c r="W3" s="15467">
        <f>IF(HLOOKUP("Shots",A1:CV300,3,FALSE)=0,0,HLOOKUP("Gs",A1:CV300,3,FALSE)/HLOOKUP("Shots",A1:CV300,3,FALSE))</f>
      </c>
      <c r="X3" t="n" s="15468">
        <v>0.0</v>
      </c>
      <c r="Y3" t="n" s="15469">
        <v>0.0</v>
      </c>
      <c r="Z3" t="n" s="15470">
        <v>0.0</v>
      </c>
      <c r="AA3" s="15471">
        <f>IF(HLOOKUP("KP",A1:CV300,3,FALSE)=0,0,HLOOKUP("As",A1:CV300,3,FALSE)/HLOOKUP("KP",A1:CV300,3,FALSE))</f>
      </c>
      <c r="AB3" s="15472"/>
      <c r="AC3" t="n" s="15473">
        <v>0.0</v>
      </c>
      <c r="AD3" t="n" s="15474">
        <v>0.0</v>
      </c>
      <c r="AE3" t="n" s="15475">
        <v>0.0</v>
      </c>
      <c r="AF3" t="n" s="15476">
        <v>0.0</v>
      </c>
      <c r="AG3" s="15477">
        <f>IF(HLOOKUP("BC",A1:CV300,3,FALSE)=0,0,HLOOKUP("Gs - BC",A1:CV300,3,FALSE)/HLOOKUP("BC",A1:CV300,3,FALSE))</f>
      </c>
      <c r="AH3" s="15478">
        <f>HLOOKUP("BC",A1:CV300,3,FALSE) - HLOOKUP("BC Miss",A1:CV300,3,FALSE)</f>
      </c>
      <c r="AI3" s="15479">
        <f>IF(HLOOKUP("Gs",A1:CV300,3,FALSE)=0,0,HLOOKUP("Gs - BC",A1:CV300,3,FALSE)/HLOOKUP("Gs",A1:CV300,3,FALSE))</f>
      </c>
      <c r="AJ3" t="n" s="15480">
        <v>0.0</v>
      </c>
      <c r="AK3" t="n" s="15481">
        <v>0.0</v>
      </c>
      <c r="AL3" s="15482">
        <f>HLOOKUP("BC",A1:CV300,3,FALSE) - (HLOOKUP("PK Gs",A1:CV300,3,FALSE) + HLOOKUP("PK Miss",A1:CV300,3,FALSE))</f>
      </c>
      <c r="AM3" s="15483">
        <f>HLOOKUP("BC Miss",A1:CV300,3,FALSE) - HLOOKUP("PK Miss",A1:CV300,3,FALSE)</f>
      </c>
      <c r="AN3" s="15484">
        <f>IF(HLOOKUP("BC - Open",A1:CV300,3,FALSE)=0,0,HLOOKUP("BC - Open Miss",A1:CV300,3,FALSE)/HLOOKUP("BC - Open",A1:CV300,3,FALSE))</f>
      </c>
      <c r="AO3" t="n" s="15485">
        <v>0.0</v>
      </c>
      <c r="AP3" s="15486">
        <f>IF(HLOOKUP("Gs",A1:CV300,3,FALSE)=0,0,HLOOKUP("GIB",A1:CV300,3,FALSE)/HLOOKUP("Gs",A1:CV300,3,FALSE))</f>
      </c>
      <c r="AQ3" t="n" s="15487">
        <v>0.0</v>
      </c>
      <c r="AR3" s="15488">
        <f>IF(HLOOKUP("Gs",A1:CV300,3,FALSE)=0,0,HLOOKUP("Gs - Open",A1:CV300,3,FALSE)/HLOOKUP("Gs",A1:CV300,3,FALSE))</f>
      </c>
      <c r="AS3" t="n" s="15489">
        <v>0.02</v>
      </c>
      <c r="AT3" t="n" s="15490">
        <v>0.0</v>
      </c>
      <c r="AU3" s="15491">
        <f>IF(HLOOKUP("Mins",A1:CV300,3,FALSE)=0,0,HLOOKUP("Pts",A1:CV300,3,FALSE)/HLOOKUP("Mins",A1:CV300,3,FALSE)* 90)</f>
      </c>
      <c r="AV3" s="15492">
        <f>IF(HLOOKUP("Apps",A1:CV300,3,FALSE)=0,0,HLOOKUP("Pts",A1:CV300,3,FALSE)/HLOOKUP("Apps",A1:CV300,3,FALSE)* 1)</f>
      </c>
      <c r="AW3" s="15493">
        <f>IF(HLOOKUP("Mins",A1:CV300,3,FALSE)=0,0,HLOOKUP("Gs",A1:CV300,3,FALSE)/HLOOKUP("Mins",A1:CV300,3,FALSE)* 90)</f>
      </c>
      <c r="AX3" s="15494">
        <f>IF(HLOOKUP("Mins",A1:CV300,3,FALSE)=0,0,HLOOKUP("Bonus",A1:CV300,3,FALSE)/HLOOKUP("Mins",A1:CV300,3,FALSE)* 90)</f>
      </c>
      <c r="AY3" s="15495">
        <f>IF(HLOOKUP("Mins",A1:CV300,3,FALSE)=0,0,HLOOKUP("BPS",A1:CV300,3,FALSE)/HLOOKUP("Mins",A1:CV300,3,FALSE)* 90)</f>
      </c>
      <c r="AZ3" s="15496">
        <f>IF(HLOOKUP("Mins",A1:CV300,3,FALSE)=0,0,HLOOKUP("Base BPS",A1:CV300,3,FALSE)/HLOOKUP("Mins",A1:CV300,3,FALSE)* 90)</f>
      </c>
      <c r="BA3" s="15497">
        <f>IF(HLOOKUP("Mins",A1:CV300,3,FALSE)=0,0,HLOOKUP("PenTchs",A1:CV300,3,FALSE)/HLOOKUP("Mins",A1:CV300,3,FALSE)* 90)</f>
      </c>
      <c r="BB3" s="15498">
        <f>IF(HLOOKUP("Mins",A1:CV300,3,FALSE)=0,0,HLOOKUP("Shots",A1:CV300,3,FALSE)/HLOOKUP("Mins",A1:CV300,3,FALSE)* 90)</f>
      </c>
      <c r="BC3" s="15499">
        <f>IF(HLOOKUP("Mins",A1:CV300,3,FALSE)=0,0,HLOOKUP("SIB",A1:CV300,3,FALSE)/HLOOKUP("Mins",A1:CV300,3,FALSE)* 90)</f>
      </c>
      <c r="BD3" s="15500">
        <f>IF(HLOOKUP("Mins",A1:CV300,3,FALSE)=0,0,HLOOKUP("S6YD",A1:CV300,3,FALSE)/HLOOKUP("Mins",A1:CV300,3,FALSE)* 90)</f>
      </c>
      <c r="BE3" s="15501">
        <f>IF(HLOOKUP("Mins",A1:CV300,3,FALSE)=0,0,HLOOKUP("Headers",A1:CV300,3,FALSE)/HLOOKUP("Mins",A1:CV300,3,FALSE)* 90)</f>
      </c>
      <c r="BF3" s="15502">
        <f>IF(HLOOKUP("Mins",A1:CV300,3,FALSE)=0,0,HLOOKUP("SOT",A1:CV300,3,FALSE)/HLOOKUP("Mins",A1:CV300,3,FALSE)* 90)</f>
      </c>
      <c r="BG3" s="15503">
        <f>IF(HLOOKUP("Mins",A1:CV300,3,FALSE)=0,0,HLOOKUP("As",A1:CV300,3,FALSE)/HLOOKUP("Mins",A1:CV300,3,FALSE)* 90)</f>
      </c>
      <c r="BH3" s="15504">
        <f>IF(HLOOKUP("Mins",A1:CV300,3,FALSE)=0,0,HLOOKUP("FPL As",A1:CV300,3,FALSE)/HLOOKUP("Mins",A1:CV300,3,FALSE)* 90)</f>
      </c>
      <c r="BI3" s="15505">
        <f>IF(HLOOKUP("Mins",A1:CV300,3,FALSE)=0,0,HLOOKUP("BC Created",A1:CV300,3,FALSE)/HLOOKUP("Mins",A1:CV300,3,FALSE)* 90)</f>
      </c>
      <c r="BJ3" s="15506">
        <f>IF(HLOOKUP("Mins",A1:CV300,3,FALSE)=0,0,HLOOKUP("KP",A1:CV300,3,FALSE)/HLOOKUP("Mins",A1:CV300,3,FALSE)* 90)</f>
      </c>
      <c r="BK3" s="15507">
        <f>IF(HLOOKUP("Mins",A1:CV300,3,FALSE)=0,0,HLOOKUP("BC",A1:CV300,3,FALSE)/HLOOKUP("Mins",A1:CV300,3,FALSE)* 90)</f>
      </c>
      <c r="BL3" s="15508">
        <f>IF(HLOOKUP("Mins",A1:CV300,3,FALSE)=0,0,HLOOKUP("BC Miss",A1:CV300,3,FALSE)/HLOOKUP("Mins",A1:CV300,3,FALSE)* 90)</f>
      </c>
      <c r="BM3" s="15509">
        <f>IF(HLOOKUP("Mins",A1:CV300,3,FALSE)=0,0,HLOOKUP("Gs - BC",A1:CV300,3,FALSE)/HLOOKUP("Mins",A1:CV300,3,FALSE)* 90)</f>
      </c>
      <c r="BN3" s="15510">
        <f>IF(HLOOKUP("Mins",A1:CV300,3,FALSE)=0,0,HLOOKUP("GIB",A1:CV300,3,FALSE)/HLOOKUP("Mins",A1:CV300,3,FALSE)* 90)</f>
      </c>
      <c r="BO3" s="15511">
        <f>IF(HLOOKUP("Mins",A1:CV300,3,FALSE)=0,0,HLOOKUP("Gs - Open",A1:CV300,3,FALSE)/HLOOKUP("Mins",A1:CV300,3,FALSE)* 90)</f>
      </c>
      <c r="BP3" s="15512">
        <f>IF(HLOOKUP("Mins",A1:CV300,3,FALSE)=0,0,HLOOKUP("ICT Index",A1:CV300,3,FALSE)/HLOOKUP("Mins",A1:CV300,3,FALSE)* 90)</f>
      </c>
      <c r="BQ3" s="15513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5514">
        <f>0.0885*HLOOKUP("KP/90",A1:CV300,3,FALSE)</f>
      </c>
      <c r="BS3" s="15515">
        <f>5*HLOOKUP("xG/90",A1:CV300,3,FALSE)+3*HLOOKUP("xA/90",A1:CV300,3,FALSE)</f>
      </c>
      <c r="BT3" s="15516">
        <f>HLOOKUP("xPts/90",A1:CV300,3,FALSE)-(5*0.75*(HLOOKUP("PK Gs",A1:CV300,3,FALSE)+HLOOKUP("PK Miss",A1:CV300,3,FALSE))*90/HLOOKUP("Mins",A1:CV300,3,FALSE))</f>
      </c>
      <c r="BU3" s="15517">
        <f>IF(HLOOKUP("Mins",A1:CV300,3,FALSE)=0,0,HLOOKUP("fsXG",A1:CV300,3,FALSE)/HLOOKUP("Mins",A1:CV300,3,FALSE)* 90)</f>
      </c>
      <c r="BV3" s="15518">
        <f>IF(HLOOKUP("Mins",A1:CV300,3,FALSE)=0,0,HLOOKUP("fsXA",A1:CV300,3,FALSE)/HLOOKUP("Mins",A1:CV300,3,FALSE)* 90)</f>
      </c>
      <c r="BW3" s="15519">
        <f>5*HLOOKUP("fsXG/90",A1:CV300,3,FALSE)+3*HLOOKUP("fsXA/90",A1:CV300,3,FALSE)</f>
      </c>
      <c r="BX3" t="n" s="15520">
        <v>0.08818846195936203</v>
      </c>
      <c r="BY3" t="n" s="15521">
        <v>0.0</v>
      </c>
      <c r="BZ3" s="15522">
        <f>5*HLOOKUP("uXG/90",A1:CV300,3,FALSE)+3*HLOOKUP("uXA/90",A1:CV300,3,FALSE)</f>
      </c>
    </row>
    <row r="4">
      <c r="A4" t="s" s="15523">
        <v>295</v>
      </c>
      <c r="B4" t="s" s="15524">
        <v>102</v>
      </c>
      <c r="C4" t="n" s="15525">
        <v>5.300000190734863</v>
      </c>
      <c r="D4" t="n" s="15526">
        <v>189.0</v>
      </c>
      <c r="E4" t="n" s="15527">
        <v>4.0</v>
      </c>
      <c r="F4" t="n" s="15528">
        <v>34.0</v>
      </c>
      <c r="G4" t="n" s="15529">
        <v>0.0</v>
      </c>
      <c r="H4" t="n" s="15530">
        <v>0.0</v>
      </c>
      <c r="I4" t="n" s="15531">
        <v>95.0</v>
      </c>
      <c r="J4" s="15532">
        <f>HLOOKUP("BPS",A1:CV300,4,FALSE)-((-6*HLOOKUP("OG",A1:CV300,4,FALSE))+(-6*HLOOKUP("PK Miss",A1:CV300,4,FALSE))+(9*HLOOKUP("FPL As",A1:CV300,4,FALSE))+(0*HLOOKUP("CS",A1:CV300,4,FALSE))+(18*HLOOKUP("Gs",A1:CV300,4,FALSE)))</f>
      </c>
      <c r="K4" t="n" s="15533">
        <v>0.0</v>
      </c>
      <c r="L4" t="n" s="15534">
        <v>3.0</v>
      </c>
      <c r="M4" t="n" s="15535">
        <v>3.0</v>
      </c>
      <c r="N4" t="n" s="15536">
        <v>0.0</v>
      </c>
      <c r="O4" t="n" s="15537">
        <v>0.0</v>
      </c>
      <c r="P4" s="15538">
        <f>IF(HLOOKUP("Shots",A1:CV300,4,FALSE)=0,0,HLOOKUP("SIB",A1:CV300,4,FALSE)/HLOOKUP("Shots",A1:CV300,4,FALSE))</f>
      </c>
      <c r="Q4" t="n" s="15539">
        <v>0.0</v>
      </c>
      <c r="R4" s="15540">
        <f>IF(HLOOKUP("Shots",A1:CV300,4,FALSE)=0,0,HLOOKUP("S6YD",A1:CV300,4,FALSE)/HLOOKUP("Shots",A1:CV300,4,FALSE))</f>
      </c>
      <c r="S4" t="n" s="15541">
        <v>0.0</v>
      </c>
      <c r="T4" s="15542">
        <f>IF(HLOOKUP("Shots",A1:CV300,4,FALSE)=0,0,HLOOKUP("Headers",A1:CV300,4,FALSE)/HLOOKUP("Shots",A1:CV300,4,FALSE))</f>
      </c>
      <c r="U4" t="n" s="15543">
        <v>0.0</v>
      </c>
      <c r="V4" s="15544">
        <f>IF(HLOOKUP("Shots",A1:CV300,4,FALSE)=0,0,HLOOKUP("SOT",A1:CV300,4,FALSE)/HLOOKUP("Shots",A1:CV300,4,FALSE))</f>
      </c>
      <c r="W4" s="15545">
        <f>IF(HLOOKUP("Shots",A1:CV300,4,FALSE)=0,0,HLOOKUP("Gs",A1:CV300,4,FALSE)/HLOOKUP("Shots",A1:CV300,4,FALSE))</f>
      </c>
      <c r="X4" t="n" s="15546">
        <v>0.0</v>
      </c>
      <c r="Y4" t="n" s="15547">
        <v>3.0</v>
      </c>
      <c r="Z4" t="n" s="15548">
        <v>2.0</v>
      </c>
      <c r="AA4" s="15549">
        <f>IF(HLOOKUP("KP",A1:CV300,4,FALSE)=0,0,HLOOKUP("As",A1:CV300,4,FALSE)/HLOOKUP("KP",A1:CV300,4,FALSE))</f>
      </c>
      <c r="AB4" s="15550"/>
      <c r="AC4" t="n" s="15551">
        <v>0.0</v>
      </c>
      <c r="AD4" t="n" s="15552">
        <v>0.0</v>
      </c>
      <c r="AE4" t="n" s="15553">
        <v>0.0</v>
      </c>
      <c r="AF4" t="n" s="15554">
        <v>0.0</v>
      </c>
      <c r="AG4" s="15555">
        <f>IF(HLOOKUP("BC",A1:CV300,4,FALSE)=0,0,HLOOKUP("Gs - BC",A1:CV300,4,FALSE)/HLOOKUP("BC",A1:CV300,4,FALSE))</f>
      </c>
      <c r="AH4" s="15556">
        <f>HLOOKUP("BC",A1:CV300,4,FALSE) - HLOOKUP("BC Miss",A1:CV300,4,FALSE)</f>
      </c>
      <c r="AI4" s="15557">
        <f>IF(HLOOKUP("Gs",A1:CV300,4,FALSE)=0,0,HLOOKUP("Gs - BC",A1:CV300,4,FALSE)/HLOOKUP("Gs",A1:CV300,4,FALSE))</f>
      </c>
      <c r="AJ4" t="n" s="15558">
        <v>0.0</v>
      </c>
      <c r="AK4" t="n" s="15559">
        <v>0.0</v>
      </c>
      <c r="AL4" s="15560">
        <f>HLOOKUP("BC",A1:CV300,4,FALSE) - (HLOOKUP("PK Gs",A1:CV300,4,FALSE) + HLOOKUP("PK Miss",A1:CV300,4,FALSE))</f>
      </c>
      <c r="AM4" s="15561">
        <f>HLOOKUP("BC Miss",A1:CV300,4,FALSE) - HLOOKUP("PK Miss",A1:CV300,4,FALSE)</f>
      </c>
      <c r="AN4" s="15562">
        <f>IF(HLOOKUP("BC - Open",A1:CV300,4,FALSE)=0,0,HLOOKUP("BC - Open Miss",A1:CV300,4,FALSE)/HLOOKUP("BC - Open",A1:CV300,4,FALSE))</f>
      </c>
      <c r="AO4" t="n" s="15563">
        <v>0.0</v>
      </c>
      <c r="AP4" s="15564">
        <f>IF(HLOOKUP("Gs",A1:CV300,4,FALSE)=0,0,HLOOKUP("GIB",A1:CV300,4,FALSE)/HLOOKUP("Gs",A1:CV300,4,FALSE))</f>
      </c>
      <c r="AQ4" t="n" s="15565">
        <v>0.0</v>
      </c>
      <c r="AR4" s="15566">
        <f>IF(HLOOKUP("Gs",A1:CV300,4,FALSE)=0,0,HLOOKUP("Gs - Open",A1:CV300,4,FALSE)/HLOOKUP("Gs",A1:CV300,4,FALSE))</f>
      </c>
      <c r="AS4" t="n" s="15567">
        <v>0.0</v>
      </c>
      <c r="AT4" t="n" s="15568">
        <v>0.02</v>
      </c>
      <c r="AU4" s="15569">
        <f>IF(HLOOKUP("Mins",A1:CV300,4,FALSE)=0,0,HLOOKUP("Pts",A1:CV300,4,FALSE)/HLOOKUP("Mins",A1:CV300,4,FALSE)* 90)</f>
      </c>
      <c r="AV4" s="15570">
        <f>IF(HLOOKUP("Apps",A1:CV300,4,FALSE)=0,0,HLOOKUP("Pts",A1:CV300,4,FALSE)/HLOOKUP("Apps",A1:CV300,4,FALSE)* 1)</f>
      </c>
      <c r="AW4" s="15571">
        <f>IF(HLOOKUP("Mins",A1:CV300,4,FALSE)=0,0,HLOOKUP("Gs",A1:CV300,4,FALSE)/HLOOKUP("Mins",A1:CV300,4,FALSE)* 90)</f>
      </c>
      <c r="AX4" s="15572">
        <f>IF(HLOOKUP("Mins",A1:CV300,4,FALSE)=0,0,HLOOKUP("Bonus",A1:CV300,4,FALSE)/HLOOKUP("Mins",A1:CV300,4,FALSE)* 90)</f>
      </c>
      <c r="AY4" s="15573">
        <f>IF(HLOOKUP("Mins",A1:CV300,4,FALSE)=0,0,HLOOKUP("BPS",A1:CV300,4,FALSE)/HLOOKUP("Mins",A1:CV300,4,FALSE)* 90)</f>
      </c>
      <c r="AZ4" s="15574">
        <f>IF(HLOOKUP("Mins",A1:CV300,4,FALSE)=0,0,HLOOKUP("Base BPS",A1:CV300,4,FALSE)/HLOOKUP("Mins",A1:CV300,4,FALSE)* 90)</f>
      </c>
      <c r="BA4" s="15575">
        <f>IF(HLOOKUP("Mins",A1:CV300,4,FALSE)=0,0,HLOOKUP("PenTchs",A1:CV300,4,FALSE)/HLOOKUP("Mins",A1:CV300,4,FALSE)* 90)</f>
      </c>
      <c r="BB4" s="15576">
        <f>IF(HLOOKUP("Mins",A1:CV300,4,FALSE)=0,0,HLOOKUP("Shots",A1:CV300,4,FALSE)/HLOOKUP("Mins",A1:CV300,4,FALSE)* 90)</f>
      </c>
      <c r="BC4" s="15577">
        <f>IF(HLOOKUP("Mins",A1:CV300,4,FALSE)=0,0,HLOOKUP("SIB",A1:CV300,4,FALSE)/HLOOKUP("Mins",A1:CV300,4,FALSE)* 90)</f>
      </c>
      <c r="BD4" s="15578">
        <f>IF(HLOOKUP("Mins",A1:CV300,4,FALSE)=0,0,HLOOKUP("S6YD",A1:CV300,4,FALSE)/HLOOKUP("Mins",A1:CV300,4,FALSE)* 90)</f>
      </c>
      <c r="BE4" s="15579">
        <f>IF(HLOOKUP("Mins",A1:CV300,4,FALSE)=0,0,HLOOKUP("Headers",A1:CV300,4,FALSE)/HLOOKUP("Mins",A1:CV300,4,FALSE)* 90)</f>
      </c>
      <c r="BF4" s="15580">
        <f>IF(HLOOKUP("Mins",A1:CV300,4,FALSE)=0,0,HLOOKUP("SOT",A1:CV300,4,FALSE)/HLOOKUP("Mins",A1:CV300,4,FALSE)* 90)</f>
      </c>
      <c r="BG4" s="15581">
        <f>IF(HLOOKUP("Mins",A1:CV300,4,FALSE)=0,0,HLOOKUP("As",A1:CV300,4,FALSE)/HLOOKUP("Mins",A1:CV300,4,FALSE)* 90)</f>
      </c>
      <c r="BH4" s="15582">
        <f>IF(HLOOKUP("Mins",A1:CV300,4,FALSE)=0,0,HLOOKUP("FPL As",A1:CV300,4,FALSE)/HLOOKUP("Mins",A1:CV300,4,FALSE)* 90)</f>
      </c>
      <c r="BI4" s="15583">
        <f>IF(HLOOKUP("Mins",A1:CV300,4,FALSE)=0,0,HLOOKUP("BC Created",A1:CV300,4,FALSE)/HLOOKUP("Mins",A1:CV300,4,FALSE)* 90)</f>
      </c>
      <c r="BJ4" s="15584">
        <f>IF(HLOOKUP("Mins",A1:CV300,4,FALSE)=0,0,HLOOKUP("KP",A1:CV300,4,FALSE)/HLOOKUP("Mins",A1:CV300,4,FALSE)* 90)</f>
      </c>
      <c r="BK4" s="15585">
        <f>IF(HLOOKUP("Mins",A1:CV300,4,FALSE)=0,0,HLOOKUP("BC",A1:CV300,4,FALSE)/HLOOKUP("Mins",A1:CV300,4,FALSE)* 90)</f>
      </c>
      <c r="BL4" s="15586">
        <f>IF(HLOOKUP("Mins",A1:CV300,4,FALSE)=0,0,HLOOKUP("BC Miss",A1:CV300,4,FALSE)/HLOOKUP("Mins",A1:CV300,4,FALSE)* 90)</f>
      </c>
      <c r="BM4" s="15587">
        <f>IF(HLOOKUP("Mins",A1:CV300,4,FALSE)=0,0,HLOOKUP("Gs - BC",A1:CV300,4,FALSE)/HLOOKUP("Mins",A1:CV300,4,FALSE)* 90)</f>
      </c>
      <c r="BN4" s="15588">
        <f>IF(HLOOKUP("Mins",A1:CV300,4,FALSE)=0,0,HLOOKUP("GIB",A1:CV300,4,FALSE)/HLOOKUP("Mins",A1:CV300,4,FALSE)* 90)</f>
      </c>
      <c r="BO4" s="15589">
        <f>IF(HLOOKUP("Mins",A1:CV300,4,FALSE)=0,0,HLOOKUP("Gs - Open",A1:CV300,4,FALSE)/HLOOKUP("Mins",A1:CV300,4,FALSE)* 90)</f>
      </c>
      <c r="BP4" s="15590">
        <f>IF(HLOOKUP("Mins",A1:CV300,4,FALSE)=0,0,HLOOKUP("ICT Index",A1:CV300,4,FALSE)/HLOOKUP("Mins",A1:CV300,4,FALSE)* 90)</f>
      </c>
      <c r="BQ4" s="15591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5592">
        <f>0.0885*HLOOKUP("KP/90",A1:CV300,4,FALSE)</f>
      </c>
      <c r="BS4" s="15593">
        <f>5*HLOOKUP("xG/90",A1:CV300,4,FALSE)+3*HLOOKUP("xA/90",A1:CV300,4,FALSE)</f>
      </c>
      <c r="BT4" s="15594">
        <f>HLOOKUP("xPts/90",A1:CV300,4,FALSE)-(5*0.75*(HLOOKUP("PK Gs",A1:CV300,4,FALSE)+HLOOKUP("PK Miss",A1:CV300,4,FALSE))*90/HLOOKUP("Mins",A1:CV300,4,FALSE))</f>
      </c>
      <c r="BU4" s="15595">
        <f>IF(HLOOKUP("Mins",A1:CV300,4,FALSE)=0,0,HLOOKUP("fsXG",A1:CV300,4,FALSE)/HLOOKUP("Mins",A1:CV300,4,FALSE)* 90)</f>
      </c>
      <c r="BV4" s="15596">
        <f>IF(HLOOKUP("Mins",A1:CV300,4,FALSE)=0,0,HLOOKUP("fsXA",A1:CV300,4,FALSE)/HLOOKUP("Mins",A1:CV300,4,FALSE)* 90)</f>
      </c>
      <c r="BW4" s="15597">
        <f>5*HLOOKUP("fsXG/90",A1:CV300,4,FALSE)+3*HLOOKUP("fsXA/90",A1:CV300,4,FALSE)</f>
      </c>
      <c r="BX4" t="n" s="15598">
        <v>0.0</v>
      </c>
      <c r="BY4" t="n" s="15599">
        <v>0.012629525735974312</v>
      </c>
      <c r="BZ4" s="15600">
        <f>5*HLOOKUP("uXG/90",A1:CV300,4,FALSE)+3*HLOOKUP("uXA/90",A1:CV300,4,FALSE)</f>
      </c>
    </row>
    <row r="5">
      <c r="A5" t="s" s="15601">
        <v>296</v>
      </c>
      <c r="B5" t="s" s="15602">
        <v>82</v>
      </c>
      <c r="C5" t="n" s="15603">
        <v>5.900000095367432</v>
      </c>
      <c r="D5" t="n" s="15604">
        <v>232.0</v>
      </c>
      <c r="E5" t="n" s="15605">
        <v>5.0</v>
      </c>
      <c r="F5" t="n" s="15606">
        <v>61.0</v>
      </c>
      <c r="G5" t="n" s="15607">
        <v>0.0</v>
      </c>
      <c r="H5" t="n" s="15608">
        <v>3.0</v>
      </c>
      <c r="I5" t="n" s="15609">
        <v>169.0</v>
      </c>
      <c r="J5" s="15610">
        <f>HLOOKUP("BPS",A1:CV300,5,FALSE)-((-6*HLOOKUP("OG",A1:CV300,5,FALSE))+(-6*HLOOKUP("PK Miss",A1:CV300,5,FALSE))+(9*HLOOKUP("FPL As",A1:CV300,5,FALSE))+(0*HLOOKUP("CS",A1:CV300,5,FALSE))+(18*HLOOKUP("Gs",A1:CV300,5,FALSE)))</f>
      </c>
      <c r="K5" t="n" s="15611">
        <v>0.0</v>
      </c>
      <c r="L5" t="n" s="15612">
        <v>5.0</v>
      </c>
      <c r="M5" t="n" s="15613">
        <v>8.0</v>
      </c>
      <c r="N5" t="n" s="15614">
        <v>6.0</v>
      </c>
      <c r="O5" t="n" s="15615">
        <v>3.0</v>
      </c>
      <c r="P5" s="15616">
        <f>IF(HLOOKUP("Shots",A1:CV300,5,FALSE)=0,0,HLOOKUP("SIB",A1:CV300,5,FALSE)/HLOOKUP("Shots",A1:CV300,5,FALSE))</f>
      </c>
      <c r="Q5" t="n" s="15617">
        <v>0.0</v>
      </c>
      <c r="R5" s="15618">
        <f>IF(HLOOKUP("Shots",A1:CV300,5,FALSE)=0,0,HLOOKUP("S6YD",A1:CV300,5,FALSE)/HLOOKUP("Shots",A1:CV300,5,FALSE))</f>
      </c>
      <c r="S5" t="n" s="15619">
        <v>0.0</v>
      </c>
      <c r="T5" s="15620">
        <f>IF(HLOOKUP("Shots",A1:CV300,5,FALSE)=0,0,HLOOKUP("Headers",A1:CV300,5,FALSE)/HLOOKUP("Shots",A1:CV300,5,FALSE))</f>
      </c>
      <c r="U5" t="n" s="15621">
        <v>1.0</v>
      </c>
      <c r="V5" s="15622">
        <f>IF(HLOOKUP("Shots",A1:CV300,5,FALSE)=0,0,HLOOKUP("SOT",A1:CV300,5,FALSE)/HLOOKUP("Shots",A1:CV300,5,FALSE))</f>
      </c>
      <c r="W5" s="15623">
        <f>IF(HLOOKUP("Shots",A1:CV300,5,FALSE)=0,0,HLOOKUP("Gs",A1:CV300,5,FALSE)/HLOOKUP("Shots",A1:CV300,5,FALSE))</f>
      </c>
      <c r="X5" t="n" s="15624">
        <v>1.0</v>
      </c>
      <c r="Y5" t="n" s="15625">
        <v>6.0</v>
      </c>
      <c r="Z5" t="n" s="15626">
        <v>3.0</v>
      </c>
      <c r="AA5" s="15627">
        <f>IF(HLOOKUP("KP",A1:CV300,5,FALSE)=0,0,HLOOKUP("As",A1:CV300,5,FALSE)/HLOOKUP("KP",A1:CV300,5,FALSE))</f>
      </c>
      <c r="AB5" s="15628"/>
      <c r="AC5" t="n" s="15629">
        <v>50.0</v>
      </c>
      <c r="AD5" t="n" s="15630">
        <v>1.0</v>
      </c>
      <c r="AE5" t="n" s="15631">
        <v>1.0</v>
      </c>
      <c r="AF5" t="n" s="15632">
        <v>1.0</v>
      </c>
      <c r="AG5" s="15633">
        <f>IF(HLOOKUP("BC",A1:CV300,5,FALSE)=0,0,HLOOKUP("Gs - BC",A1:CV300,5,FALSE)/HLOOKUP("BC",A1:CV300,5,FALSE))</f>
      </c>
      <c r="AH5" s="15634">
        <f>HLOOKUP("BC",A1:CV300,5,FALSE) - HLOOKUP("BC Miss",A1:CV300,5,FALSE)</f>
      </c>
      <c r="AI5" s="15635">
        <f>IF(HLOOKUP("Gs",A1:CV300,5,FALSE)=0,0,HLOOKUP("Gs - BC",A1:CV300,5,FALSE)/HLOOKUP("Gs",A1:CV300,5,FALSE))</f>
      </c>
      <c r="AJ5" t="n" s="15636">
        <v>0.0</v>
      </c>
      <c r="AK5" t="n" s="15637">
        <v>0.0</v>
      </c>
      <c r="AL5" s="15638">
        <f>HLOOKUP("BC",A1:CV300,5,FALSE) - (HLOOKUP("PK Gs",A1:CV300,5,FALSE) + HLOOKUP("PK Miss",A1:CV300,5,FALSE))</f>
      </c>
      <c r="AM5" s="15639">
        <f>HLOOKUP("BC Miss",A1:CV300,5,FALSE) - HLOOKUP("PK Miss",A1:CV300,5,FALSE)</f>
      </c>
      <c r="AN5" s="15640">
        <f>IF(HLOOKUP("BC - Open",A1:CV300,5,FALSE)=0,0,HLOOKUP("BC - Open Miss",A1:CV300,5,FALSE)/HLOOKUP("BC - Open",A1:CV300,5,FALSE))</f>
      </c>
      <c r="AO5" t="n" s="15641">
        <v>0.0</v>
      </c>
      <c r="AP5" s="15642">
        <f>IF(HLOOKUP("Gs",A1:CV300,5,FALSE)=0,0,HLOOKUP("GIB",A1:CV300,5,FALSE)/HLOOKUP("Gs",A1:CV300,5,FALSE))</f>
      </c>
      <c r="AQ5" t="n" s="15643">
        <v>0.0</v>
      </c>
      <c r="AR5" s="15644">
        <f>IF(HLOOKUP("Gs",A1:CV300,5,FALSE)=0,0,HLOOKUP("Gs - Open",A1:CV300,5,FALSE)/HLOOKUP("Gs",A1:CV300,5,FALSE))</f>
      </c>
      <c r="AS5" t="n" s="15645">
        <v>0.66</v>
      </c>
      <c r="AT5" t="n" s="15646">
        <v>0.19</v>
      </c>
      <c r="AU5" s="15647">
        <f>IF(HLOOKUP("Mins",A1:CV300,5,FALSE)=0,0,HLOOKUP("Pts",A1:CV300,5,FALSE)/HLOOKUP("Mins",A1:CV300,5,FALSE)* 90)</f>
      </c>
      <c r="AV5" s="15648">
        <f>IF(HLOOKUP("Apps",A1:CV300,5,FALSE)=0,0,HLOOKUP("Pts",A1:CV300,5,FALSE)/HLOOKUP("Apps",A1:CV300,5,FALSE)* 1)</f>
      </c>
      <c r="AW5" s="15649">
        <f>IF(HLOOKUP("Mins",A1:CV300,5,FALSE)=0,0,HLOOKUP("Gs",A1:CV300,5,FALSE)/HLOOKUP("Mins",A1:CV300,5,FALSE)* 90)</f>
      </c>
      <c r="AX5" s="15650">
        <f>IF(HLOOKUP("Mins",A1:CV300,5,FALSE)=0,0,HLOOKUP("Bonus",A1:CV300,5,FALSE)/HLOOKUP("Mins",A1:CV300,5,FALSE)* 90)</f>
      </c>
      <c r="AY5" s="15651">
        <f>IF(HLOOKUP("Mins",A1:CV300,5,FALSE)=0,0,HLOOKUP("BPS",A1:CV300,5,FALSE)/HLOOKUP("Mins",A1:CV300,5,FALSE)* 90)</f>
      </c>
      <c r="AZ5" s="15652">
        <f>IF(HLOOKUP("Mins",A1:CV300,5,FALSE)=0,0,HLOOKUP("Base BPS",A1:CV300,5,FALSE)/HLOOKUP("Mins",A1:CV300,5,FALSE)* 90)</f>
      </c>
      <c r="BA5" s="15653">
        <f>IF(HLOOKUP("Mins",A1:CV300,5,FALSE)=0,0,HLOOKUP("PenTchs",A1:CV300,5,FALSE)/HLOOKUP("Mins",A1:CV300,5,FALSE)* 90)</f>
      </c>
      <c r="BB5" s="15654">
        <f>IF(HLOOKUP("Mins",A1:CV300,5,FALSE)=0,0,HLOOKUP("Shots",A1:CV300,5,FALSE)/HLOOKUP("Mins",A1:CV300,5,FALSE)* 90)</f>
      </c>
      <c r="BC5" s="15655">
        <f>IF(HLOOKUP("Mins",A1:CV300,5,FALSE)=0,0,HLOOKUP("SIB",A1:CV300,5,FALSE)/HLOOKUP("Mins",A1:CV300,5,FALSE)* 90)</f>
      </c>
      <c r="BD5" s="15656">
        <f>IF(HLOOKUP("Mins",A1:CV300,5,FALSE)=0,0,HLOOKUP("S6YD",A1:CV300,5,FALSE)/HLOOKUP("Mins",A1:CV300,5,FALSE)* 90)</f>
      </c>
      <c r="BE5" s="15657">
        <f>IF(HLOOKUP("Mins",A1:CV300,5,FALSE)=0,0,HLOOKUP("Headers",A1:CV300,5,FALSE)/HLOOKUP("Mins",A1:CV300,5,FALSE)* 90)</f>
      </c>
      <c r="BF5" s="15658">
        <f>IF(HLOOKUP("Mins",A1:CV300,5,FALSE)=0,0,HLOOKUP("SOT",A1:CV300,5,FALSE)/HLOOKUP("Mins",A1:CV300,5,FALSE)* 90)</f>
      </c>
      <c r="BG5" s="15659">
        <f>IF(HLOOKUP("Mins",A1:CV300,5,FALSE)=0,0,HLOOKUP("As",A1:CV300,5,FALSE)/HLOOKUP("Mins",A1:CV300,5,FALSE)* 90)</f>
      </c>
      <c r="BH5" s="15660">
        <f>IF(HLOOKUP("Mins",A1:CV300,5,FALSE)=0,0,HLOOKUP("FPL As",A1:CV300,5,FALSE)/HLOOKUP("Mins",A1:CV300,5,FALSE)* 90)</f>
      </c>
      <c r="BI5" s="15661">
        <f>IF(HLOOKUP("Mins",A1:CV300,5,FALSE)=0,0,HLOOKUP("BC Created",A1:CV300,5,FALSE)/HLOOKUP("Mins",A1:CV300,5,FALSE)* 90)</f>
      </c>
      <c r="BJ5" s="15662">
        <f>IF(HLOOKUP("Mins",A1:CV300,5,FALSE)=0,0,HLOOKUP("KP",A1:CV300,5,FALSE)/HLOOKUP("Mins",A1:CV300,5,FALSE)* 90)</f>
      </c>
      <c r="BK5" s="15663">
        <f>IF(HLOOKUP("Mins",A1:CV300,5,FALSE)=0,0,HLOOKUP("BC",A1:CV300,5,FALSE)/HLOOKUP("Mins",A1:CV300,5,FALSE)* 90)</f>
      </c>
      <c r="BL5" s="15664">
        <f>IF(HLOOKUP("Mins",A1:CV300,5,FALSE)=0,0,HLOOKUP("BC Miss",A1:CV300,5,FALSE)/HLOOKUP("Mins",A1:CV300,5,FALSE)* 90)</f>
      </c>
      <c r="BM5" s="15665">
        <f>IF(HLOOKUP("Mins",A1:CV300,5,FALSE)=0,0,HLOOKUP("Gs - BC",A1:CV300,5,FALSE)/HLOOKUP("Mins",A1:CV300,5,FALSE)* 90)</f>
      </c>
      <c r="BN5" s="15666">
        <f>IF(HLOOKUP("Mins",A1:CV300,5,FALSE)=0,0,HLOOKUP("GIB",A1:CV300,5,FALSE)/HLOOKUP("Mins",A1:CV300,5,FALSE)* 90)</f>
      </c>
      <c r="BO5" s="15667">
        <f>IF(HLOOKUP("Mins",A1:CV300,5,FALSE)=0,0,HLOOKUP("Gs - Open",A1:CV300,5,FALSE)/HLOOKUP("Mins",A1:CV300,5,FALSE)* 90)</f>
      </c>
      <c r="BP5" s="15668">
        <f>IF(HLOOKUP("Mins",A1:CV300,5,FALSE)=0,0,HLOOKUP("ICT Index",A1:CV300,5,FALSE)/HLOOKUP("Mins",A1:CV300,5,FALSE)* 90)</f>
      </c>
      <c r="BQ5" s="15669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5670">
        <f>0.0885*HLOOKUP("KP/90",A1:CV300,5,FALSE)</f>
      </c>
      <c r="BS5" s="15671">
        <f>5*HLOOKUP("xG/90",A1:CV300,5,FALSE)+3*HLOOKUP("xA/90",A1:CV300,5,FALSE)</f>
      </c>
      <c r="BT5" s="15672">
        <f>HLOOKUP("xPts/90",A1:CV300,5,FALSE)-(5*0.75*(HLOOKUP("PK Gs",A1:CV300,5,FALSE)+HLOOKUP("PK Miss",A1:CV300,5,FALSE))*90/HLOOKUP("Mins",A1:CV300,5,FALSE))</f>
      </c>
      <c r="BU5" s="15673">
        <f>IF(HLOOKUP("Mins",A1:CV300,5,FALSE)=0,0,HLOOKUP("fsXG",A1:CV300,5,FALSE)/HLOOKUP("Mins",A1:CV300,5,FALSE)* 90)</f>
      </c>
      <c r="BV5" s="15674">
        <f>IF(HLOOKUP("Mins",A1:CV300,5,FALSE)=0,0,HLOOKUP("fsXA",A1:CV300,5,FALSE)/HLOOKUP("Mins",A1:CV300,5,FALSE)* 90)</f>
      </c>
      <c r="BW5" s="15675">
        <f>5*HLOOKUP("fsXG/90",A1:CV300,5,FALSE)+3*HLOOKUP("fsXA/90",A1:CV300,5,FALSE)</f>
      </c>
      <c r="BX5" t="n" s="15676">
        <v>0.29868313670158386</v>
      </c>
      <c r="BY5" t="n" s="15677">
        <v>0.15290936827659607</v>
      </c>
      <c r="BZ5" s="15678">
        <f>5*HLOOKUP("uXG/90",A1:CV300,5,FALSE)+3*HLOOKUP("uXA/90",A1:CV300,5,FALSE)</f>
      </c>
    </row>
    <row r="6">
      <c r="A6" t="s" s="15679">
        <v>297</v>
      </c>
      <c r="B6" t="s" s="15680">
        <v>112</v>
      </c>
      <c r="C6" t="n" s="15681">
        <v>4.699999809265137</v>
      </c>
      <c r="D6" t="n" s="15682">
        <v>450.0</v>
      </c>
      <c r="E6" t="n" s="15683">
        <v>5.0</v>
      </c>
      <c r="F6" t="n" s="15684">
        <v>48.0</v>
      </c>
      <c r="G6" t="n" s="15685">
        <v>0.0</v>
      </c>
      <c r="H6" t="n" s="15686">
        <v>1.0</v>
      </c>
      <c r="I6" t="n" s="15687">
        <v>328.0</v>
      </c>
      <c r="J6" s="15688">
        <f>HLOOKUP("BPS",A1:CV300,6,FALSE)-((-6*HLOOKUP("OG",A1:CV300,6,FALSE))+(-6*HLOOKUP("PK Miss",A1:CV300,6,FALSE))+(9*HLOOKUP("FPL As",A1:CV300,6,FALSE))+(0*HLOOKUP("CS",A1:CV300,6,FALSE))+(18*HLOOKUP("Gs",A1:CV300,6,FALSE)))</f>
      </c>
      <c r="K6" t="n" s="15689">
        <v>0.0</v>
      </c>
      <c r="L6" t="n" s="15690">
        <v>6.0</v>
      </c>
      <c r="M6" t="n" s="15691">
        <v>3.0</v>
      </c>
      <c r="N6" t="n" s="15692">
        <v>3.0</v>
      </c>
      <c r="O6" t="n" s="15693">
        <v>2.0</v>
      </c>
      <c r="P6" s="15694">
        <f>IF(HLOOKUP("Shots",A1:CV300,6,FALSE)=0,0,HLOOKUP("SIB",A1:CV300,6,FALSE)/HLOOKUP("Shots",A1:CV300,6,FALSE))</f>
      </c>
      <c r="Q6" t="n" s="15695">
        <v>0.0</v>
      </c>
      <c r="R6" s="15696">
        <f>IF(HLOOKUP("Shots",A1:CV300,6,FALSE)=0,0,HLOOKUP("S6YD",A1:CV300,6,FALSE)/HLOOKUP("Shots",A1:CV300,6,FALSE))</f>
      </c>
      <c r="S6" t="n" s="15697">
        <v>1.0</v>
      </c>
      <c r="T6" s="15698">
        <f>IF(HLOOKUP("Shots",A1:CV300,6,FALSE)=0,0,HLOOKUP("Headers",A1:CV300,6,FALSE)/HLOOKUP("Shots",A1:CV300,6,FALSE))</f>
      </c>
      <c r="U6" t="n" s="15699">
        <v>1.0</v>
      </c>
      <c r="V6" s="15700">
        <f>IF(HLOOKUP("Shots",A1:CV300,6,FALSE)=0,0,HLOOKUP("SOT",A1:CV300,6,FALSE)/HLOOKUP("Shots",A1:CV300,6,FALSE))</f>
      </c>
      <c r="W6" s="15701">
        <f>IF(HLOOKUP("Shots",A1:CV300,6,FALSE)=0,0,HLOOKUP("Gs",A1:CV300,6,FALSE)/HLOOKUP("Shots",A1:CV300,6,FALSE))</f>
      </c>
      <c r="X6" t="n" s="15702">
        <v>1.0</v>
      </c>
      <c r="Y6" t="n" s="15703">
        <v>1.0</v>
      </c>
      <c r="Z6" t="n" s="15704">
        <v>4.0</v>
      </c>
      <c r="AA6" s="15705">
        <f>IF(HLOOKUP("KP",A1:CV300,6,FALSE)=0,0,HLOOKUP("As",A1:CV300,6,FALSE)/HLOOKUP("KP",A1:CV300,6,FALSE))</f>
      </c>
      <c r="AB6" s="15706"/>
      <c r="AC6" t="n" s="15707">
        <v>14.0</v>
      </c>
      <c r="AD6" t="n" s="15708">
        <v>1.0</v>
      </c>
      <c r="AE6" t="n" s="15709">
        <v>0.0</v>
      </c>
      <c r="AF6" t="n" s="15710">
        <v>0.0</v>
      </c>
      <c r="AG6" s="15711">
        <f>IF(HLOOKUP("BC",A1:CV300,6,FALSE)=0,0,HLOOKUP("Gs - BC",A1:CV300,6,FALSE)/HLOOKUP("BC",A1:CV300,6,FALSE))</f>
      </c>
      <c r="AH6" s="15712">
        <f>HLOOKUP("BC",A1:CV300,6,FALSE) - HLOOKUP("BC Miss",A1:CV300,6,FALSE)</f>
      </c>
      <c r="AI6" s="15713">
        <f>IF(HLOOKUP("Gs",A1:CV300,6,FALSE)=0,0,HLOOKUP("Gs - BC",A1:CV300,6,FALSE)/HLOOKUP("Gs",A1:CV300,6,FALSE))</f>
      </c>
      <c r="AJ6" t="n" s="15714">
        <v>0.0</v>
      </c>
      <c r="AK6" t="n" s="15715">
        <v>0.0</v>
      </c>
      <c r="AL6" s="15716">
        <f>HLOOKUP("BC",A1:CV300,6,FALSE) - (HLOOKUP("PK Gs",A1:CV300,6,FALSE) + HLOOKUP("PK Miss",A1:CV300,6,FALSE))</f>
      </c>
      <c r="AM6" s="15717">
        <f>HLOOKUP("BC Miss",A1:CV300,6,FALSE) - HLOOKUP("PK Miss",A1:CV300,6,FALSE)</f>
      </c>
      <c r="AN6" s="15718">
        <f>IF(HLOOKUP("BC - Open",A1:CV300,6,FALSE)=0,0,HLOOKUP("BC - Open Miss",A1:CV300,6,FALSE)/HLOOKUP("BC - Open",A1:CV300,6,FALSE))</f>
      </c>
      <c r="AO6" t="n" s="15719">
        <v>0.0</v>
      </c>
      <c r="AP6" s="15720">
        <f>IF(HLOOKUP("Gs",A1:CV300,6,FALSE)=0,0,HLOOKUP("GIB",A1:CV300,6,FALSE)/HLOOKUP("Gs",A1:CV300,6,FALSE))</f>
      </c>
      <c r="AQ6" t="n" s="15721">
        <v>0.0</v>
      </c>
      <c r="AR6" s="15722">
        <f>IF(HLOOKUP("Gs",A1:CV300,6,FALSE)=0,0,HLOOKUP("Gs - Open",A1:CV300,6,FALSE)/HLOOKUP("Gs",A1:CV300,6,FALSE))</f>
      </c>
      <c r="AS6" t="n" s="15723">
        <v>0.15</v>
      </c>
      <c r="AT6" t="n" s="15724">
        <v>0.13</v>
      </c>
      <c r="AU6" s="15725">
        <f>IF(HLOOKUP("Mins",A1:CV300,6,FALSE)=0,0,HLOOKUP("Pts",A1:CV300,6,FALSE)/HLOOKUP("Mins",A1:CV300,6,FALSE)* 90)</f>
      </c>
      <c r="AV6" s="15726">
        <f>IF(HLOOKUP("Apps",A1:CV300,6,FALSE)=0,0,HLOOKUP("Pts",A1:CV300,6,FALSE)/HLOOKUP("Apps",A1:CV300,6,FALSE)* 1)</f>
      </c>
      <c r="AW6" s="15727">
        <f>IF(HLOOKUP("Mins",A1:CV300,6,FALSE)=0,0,HLOOKUP("Gs",A1:CV300,6,FALSE)/HLOOKUP("Mins",A1:CV300,6,FALSE)* 90)</f>
      </c>
      <c r="AX6" s="15728">
        <f>IF(HLOOKUP("Mins",A1:CV300,6,FALSE)=0,0,HLOOKUP("Bonus",A1:CV300,6,FALSE)/HLOOKUP("Mins",A1:CV300,6,FALSE)* 90)</f>
      </c>
      <c r="AY6" s="15729">
        <f>IF(HLOOKUP("Mins",A1:CV300,6,FALSE)=0,0,HLOOKUP("BPS",A1:CV300,6,FALSE)/HLOOKUP("Mins",A1:CV300,6,FALSE)* 90)</f>
      </c>
      <c r="AZ6" s="15730">
        <f>IF(HLOOKUP("Mins",A1:CV300,6,FALSE)=0,0,HLOOKUP("Base BPS",A1:CV300,6,FALSE)/HLOOKUP("Mins",A1:CV300,6,FALSE)* 90)</f>
      </c>
      <c r="BA6" s="15731">
        <f>IF(HLOOKUP("Mins",A1:CV300,6,FALSE)=0,0,HLOOKUP("PenTchs",A1:CV300,6,FALSE)/HLOOKUP("Mins",A1:CV300,6,FALSE)* 90)</f>
      </c>
      <c r="BB6" s="15732">
        <f>IF(HLOOKUP("Mins",A1:CV300,6,FALSE)=0,0,HLOOKUP("Shots",A1:CV300,6,FALSE)/HLOOKUP("Mins",A1:CV300,6,FALSE)* 90)</f>
      </c>
      <c r="BC6" s="15733">
        <f>IF(HLOOKUP("Mins",A1:CV300,6,FALSE)=0,0,HLOOKUP("SIB",A1:CV300,6,FALSE)/HLOOKUP("Mins",A1:CV300,6,FALSE)* 90)</f>
      </c>
      <c r="BD6" s="15734">
        <f>IF(HLOOKUP("Mins",A1:CV300,6,FALSE)=0,0,HLOOKUP("S6YD",A1:CV300,6,FALSE)/HLOOKUP("Mins",A1:CV300,6,FALSE)* 90)</f>
      </c>
      <c r="BE6" s="15735">
        <f>IF(HLOOKUP("Mins",A1:CV300,6,FALSE)=0,0,HLOOKUP("Headers",A1:CV300,6,FALSE)/HLOOKUP("Mins",A1:CV300,6,FALSE)* 90)</f>
      </c>
      <c r="BF6" s="15736">
        <f>IF(HLOOKUP("Mins",A1:CV300,6,FALSE)=0,0,HLOOKUP("SOT",A1:CV300,6,FALSE)/HLOOKUP("Mins",A1:CV300,6,FALSE)* 90)</f>
      </c>
      <c r="BG6" s="15737">
        <f>IF(HLOOKUP("Mins",A1:CV300,6,FALSE)=0,0,HLOOKUP("As",A1:CV300,6,FALSE)/HLOOKUP("Mins",A1:CV300,6,FALSE)* 90)</f>
      </c>
      <c r="BH6" s="15738">
        <f>IF(HLOOKUP("Mins",A1:CV300,6,FALSE)=0,0,HLOOKUP("FPL As",A1:CV300,6,FALSE)/HLOOKUP("Mins",A1:CV300,6,FALSE)* 90)</f>
      </c>
      <c r="BI6" s="15739">
        <f>IF(HLOOKUP("Mins",A1:CV300,6,FALSE)=0,0,HLOOKUP("BC Created",A1:CV300,6,FALSE)/HLOOKUP("Mins",A1:CV300,6,FALSE)* 90)</f>
      </c>
      <c r="BJ6" s="15740">
        <f>IF(HLOOKUP("Mins",A1:CV300,6,FALSE)=0,0,HLOOKUP("KP",A1:CV300,6,FALSE)/HLOOKUP("Mins",A1:CV300,6,FALSE)* 90)</f>
      </c>
      <c r="BK6" s="15741">
        <f>IF(HLOOKUP("Mins",A1:CV300,6,FALSE)=0,0,HLOOKUP("BC",A1:CV300,6,FALSE)/HLOOKUP("Mins",A1:CV300,6,FALSE)* 90)</f>
      </c>
      <c r="BL6" s="15742">
        <f>IF(HLOOKUP("Mins",A1:CV300,6,FALSE)=0,0,HLOOKUP("BC Miss",A1:CV300,6,FALSE)/HLOOKUP("Mins",A1:CV300,6,FALSE)* 90)</f>
      </c>
      <c r="BM6" s="15743">
        <f>IF(HLOOKUP("Mins",A1:CV300,6,FALSE)=0,0,HLOOKUP("Gs - BC",A1:CV300,6,FALSE)/HLOOKUP("Mins",A1:CV300,6,FALSE)* 90)</f>
      </c>
      <c r="BN6" s="15744">
        <f>IF(HLOOKUP("Mins",A1:CV300,6,FALSE)=0,0,HLOOKUP("GIB",A1:CV300,6,FALSE)/HLOOKUP("Mins",A1:CV300,6,FALSE)* 90)</f>
      </c>
      <c r="BO6" s="15745">
        <f>IF(HLOOKUP("Mins",A1:CV300,6,FALSE)=0,0,HLOOKUP("Gs - Open",A1:CV300,6,FALSE)/HLOOKUP("Mins",A1:CV300,6,FALSE)* 90)</f>
      </c>
      <c r="BP6" s="15746">
        <f>IF(HLOOKUP("Mins",A1:CV300,6,FALSE)=0,0,HLOOKUP("ICT Index",A1:CV300,6,FALSE)/HLOOKUP("Mins",A1:CV300,6,FALSE)* 90)</f>
      </c>
      <c r="BQ6" s="15747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5748">
        <f>0.0885*HLOOKUP("KP/90",A1:CV300,6,FALSE)</f>
      </c>
      <c r="BS6" s="15749">
        <f>5*HLOOKUP("xG/90",A1:CV300,6,FALSE)+3*HLOOKUP("xA/90",A1:CV300,6,FALSE)</f>
      </c>
      <c r="BT6" s="15750">
        <f>HLOOKUP("xPts/90",A1:CV300,6,FALSE)-(5*0.75*(HLOOKUP("PK Gs",A1:CV300,6,FALSE)+HLOOKUP("PK Miss",A1:CV300,6,FALSE))*90/HLOOKUP("Mins",A1:CV300,6,FALSE))</f>
      </c>
      <c r="BU6" s="15751">
        <f>IF(HLOOKUP("Mins",A1:CV300,6,FALSE)=0,0,HLOOKUP("fsXG",A1:CV300,6,FALSE)/HLOOKUP("Mins",A1:CV300,6,FALSE)* 90)</f>
      </c>
      <c r="BV6" s="15752">
        <f>IF(HLOOKUP("Mins",A1:CV300,6,FALSE)=0,0,HLOOKUP("fsXA",A1:CV300,6,FALSE)/HLOOKUP("Mins",A1:CV300,6,FALSE)* 90)</f>
      </c>
      <c r="BW6" s="15753">
        <f>5*HLOOKUP("fsXG/90",A1:CV300,6,FALSE)+3*HLOOKUP("fsXA/90",A1:CV300,6,FALSE)</f>
      </c>
      <c r="BX6" t="n" s="15754">
        <v>0.02393505536019802</v>
      </c>
      <c r="BY6" t="n" s="15755">
        <v>0.0605720691382885</v>
      </c>
      <c r="BZ6" s="15756">
        <f>5*HLOOKUP("uXG/90",A1:CV300,6,FALSE)+3*HLOOKUP("uXA/90",A1:CV300,6,FALSE)</f>
      </c>
    </row>
    <row r="7">
      <c r="A7" t="s" s="15757">
        <v>298</v>
      </c>
      <c r="B7" t="s" s="15758">
        <v>144</v>
      </c>
      <c r="C7" t="n" s="15759">
        <v>4.900000095367432</v>
      </c>
      <c r="D7" t="n" s="15760">
        <v>266.0</v>
      </c>
      <c r="E7" t="n" s="15761">
        <v>4.0</v>
      </c>
      <c r="F7" t="n" s="15762">
        <v>51.0</v>
      </c>
      <c r="G7" t="n" s="15763">
        <v>0.0</v>
      </c>
      <c r="H7" t="n" s="15764">
        <v>1.0</v>
      </c>
      <c r="I7" t="n" s="15765">
        <v>174.0</v>
      </c>
      <c r="J7" s="15766">
        <f>HLOOKUP("BPS",A1:CV300,7,FALSE)-((-6*HLOOKUP("OG",A1:CV300,7,FALSE))+(-6*HLOOKUP("PK Miss",A1:CV300,7,FALSE))+(9*HLOOKUP("FPL As",A1:CV300,7,FALSE))+(0*HLOOKUP("CS",A1:CV300,7,FALSE))+(18*HLOOKUP("Gs",A1:CV300,7,FALSE)))</f>
      </c>
      <c r="K7" t="n" s="15767">
        <v>0.0</v>
      </c>
      <c r="L7" t="n" s="15768">
        <v>5.0</v>
      </c>
      <c r="M7" t="n" s="15769">
        <v>13.0</v>
      </c>
      <c r="N7" t="n" s="15770">
        <v>5.0</v>
      </c>
      <c r="O7" t="n" s="15771">
        <v>1.0</v>
      </c>
      <c r="P7" s="15772">
        <f>IF(HLOOKUP("Shots",A1:CV300,7,FALSE)=0,0,HLOOKUP("SIB",A1:CV300,7,FALSE)/HLOOKUP("Shots",A1:CV300,7,FALSE))</f>
      </c>
      <c r="Q7" t="n" s="15773">
        <v>0.0</v>
      </c>
      <c r="R7" s="15774">
        <f>IF(HLOOKUP("Shots",A1:CV300,7,FALSE)=0,0,HLOOKUP("S6YD",A1:CV300,7,FALSE)/HLOOKUP("Shots",A1:CV300,7,FALSE))</f>
      </c>
      <c r="S7" t="n" s="15775">
        <v>0.0</v>
      </c>
      <c r="T7" s="15776">
        <f>IF(HLOOKUP("Shots",A1:CV300,7,FALSE)=0,0,HLOOKUP("Headers",A1:CV300,7,FALSE)/HLOOKUP("Shots",A1:CV300,7,FALSE))</f>
      </c>
      <c r="U7" t="n" s="15777">
        <v>2.0</v>
      </c>
      <c r="V7" s="15778">
        <f>IF(HLOOKUP("Shots",A1:CV300,7,FALSE)=0,0,HLOOKUP("SOT",A1:CV300,7,FALSE)/HLOOKUP("Shots",A1:CV300,7,FALSE))</f>
      </c>
      <c r="W7" s="15779">
        <f>IF(HLOOKUP("Shots",A1:CV300,7,FALSE)=0,0,HLOOKUP("Gs",A1:CV300,7,FALSE)/HLOOKUP("Shots",A1:CV300,7,FALSE))</f>
      </c>
      <c r="X7" t="n" s="15780">
        <v>2.0</v>
      </c>
      <c r="Y7" t="n" s="15781">
        <v>3.0</v>
      </c>
      <c r="Z7" t="n" s="15782">
        <v>10.0</v>
      </c>
      <c r="AA7" s="15783">
        <f>IF(HLOOKUP("KP",A1:CV300,7,FALSE)=0,0,HLOOKUP("As",A1:CV300,7,FALSE)/HLOOKUP("KP",A1:CV300,7,FALSE))</f>
      </c>
      <c r="AB7" s="15784"/>
      <c r="AC7" t="n" s="15785">
        <v>25.0</v>
      </c>
      <c r="AD7" t="n" s="15786">
        <v>1.0</v>
      </c>
      <c r="AE7" t="n" s="15787">
        <v>0.0</v>
      </c>
      <c r="AF7" t="n" s="15788">
        <v>0.0</v>
      </c>
      <c r="AG7" s="15789">
        <f>IF(HLOOKUP("BC",A1:CV300,7,FALSE)=0,0,HLOOKUP("Gs - BC",A1:CV300,7,FALSE)/HLOOKUP("BC",A1:CV300,7,FALSE))</f>
      </c>
      <c r="AH7" s="15790">
        <f>HLOOKUP("BC",A1:CV300,7,FALSE) - HLOOKUP("BC Miss",A1:CV300,7,FALSE)</f>
      </c>
      <c r="AI7" s="15791">
        <f>IF(HLOOKUP("Gs",A1:CV300,7,FALSE)=0,0,HLOOKUP("Gs - BC",A1:CV300,7,FALSE)/HLOOKUP("Gs",A1:CV300,7,FALSE))</f>
      </c>
      <c r="AJ7" t="n" s="15792">
        <v>0.0</v>
      </c>
      <c r="AK7" t="n" s="15793">
        <v>0.0</v>
      </c>
      <c r="AL7" s="15794">
        <f>HLOOKUP("BC",A1:CV300,7,FALSE) - (HLOOKUP("PK Gs",A1:CV300,7,FALSE) + HLOOKUP("PK Miss",A1:CV300,7,FALSE))</f>
      </c>
      <c r="AM7" s="15795">
        <f>HLOOKUP("BC Miss",A1:CV300,7,FALSE) - HLOOKUP("PK Miss",A1:CV300,7,FALSE)</f>
      </c>
      <c r="AN7" s="15796">
        <f>IF(HLOOKUP("BC - Open",A1:CV300,7,FALSE)=0,0,HLOOKUP("BC - Open Miss",A1:CV300,7,FALSE)/HLOOKUP("BC - Open",A1:CV300,7,FALSE))</f>
      </c>
      <c r="AO7" t="n" s="15797">
        <v>0.0</v>
      </c>
      <c r="AP7" s="15798">
        <f>IF(HLOOKUP("Gs",A1:CV300,7,FALSE)=0,0,HLOOKUP("GIB",A1:CV300,7,FALSE)/HLOOKUP("Gs",A1:CV300,7,FALSE))</f>
      </c>
      <c r="AQ7" t="n" s="15799">
        <v>0.0</v>
      </c>
      <c r="AR7" s="15800">
        <f>IF(HLOOKUP("Gs",A1:CV300,7,FALSE)=0,0,HLOOKUP("Gs - Open",A1:CV300,7,FALSE)/HLOOKUP("Gs",A1:CV300,7,FALSE))</f>
      </c>
      <c r="AS7" t="n" s="15801">
        <v>0.26</v>
      </c>
      <c r="AT7" t="n" s="15802">
        <v>1.27</v>
      </c>
      <c r="AU7" s="15803">
        <f>IF(HLOOKUP("Mins",A1:CV300,7,FALSE)=0,0,HLOOKUP("Pts",A1:CV300,7,FALSE)/HLOOKUP("Mins",A1:CV300,7,FALSE)* 90)</f>
      </c>
      <c r="AV7" s="15804">
        <f>IF(HLOOKUP("Apps",A1:CV300,7,FALSE)=0,0,HLOOKUP("Pts",A1:CV300,7,FALSE)/HLOOKUP("Apps",A1:CV300,7,FALSE)* 1)</f>
      </c>
      <c r="AW7" s="15805">
        <f>IF(HLOOKUP("Mins",A1:CV300,7,FALSE)=0,0,HLOOKUP("Gs",A1:CV300,7,FALSE)/HLOOKUP("Mins",A1:CV300,7,FALSE)* 90)</f>
      </c>
      <c r="AX7" s="15806">
        <f>IF(HLOOKUP("Mins",A1:CV300,7,FALSE)=0,0,HLOOKUP("Bonus",A1:CV300,7,FALSE)/HLOOKUP("Mins",A1:CV300,7,FALSE)* 90)</f>
      </c>
      <c r="AY7" s="15807">
        <f>IF(HLOOKUP("Mins",A1:CV300,7,FALSE)=0,0,HLOOKUP("BPS",A1:CV300,7,FALSE)/HLOOKUP("Mins",A1:CV300,7,FALSE)* 90)</f>
      </c>
      <c r="AZ7" s="15808">
        <f>IF(HLOOKUP("Mins",A1:CV300,7,FALSE)=0,0,HLOOKUP("Base BPS",A1:CV300,7,FALSE)/HLOOKUP("Mins",A1:CV300,7,FALSE)* 90)</f>
      </c>
      <c r="BA7" s="15809">
        <f>IF(HLOOKUP("Mins",A1:CV300,7,FALSE)=0,0,HLOOKUP("PenTchs",A1:CV300,7,FALSE)/HLOOKUP("Mins",A1:CV300,7,FALSE)* 90)</f>
      </c>
      <c r="BB7" s="15810">
        <f>IF(HLOOKUP("Mins",A1:CV300,7,FALSE)=0,0,HLOOKUP("Shots",A1:CV300,7,FALSE)/HLOOKUP("Mins",A1:CV300,7,FALSE)* 90)</f>
      </c>
      <c r="BC7" s="15811">
        <f>IF(HLOOKUP("Mins",A1:CV300,7,FALSE)=0,0,HLOOKUP("SIB",A1:CV300,7,FALSE)/HLOOKUP("Mins",A1:CV300,7,FALSE)* 90)</f>
      </c>
      <c r="BD7" s="15812">
        <f>IF(HLOOKUP("Mins",A1:CV300,7,FALSE)=0,0,HLOOKUP("S6YD",A1:CV300,7,FALSE)/HLOOKUP("Mins",A1:CV300,7,FALSE)* 90)</f>
      </c>
      <c r="BE7" s="15813">
        <f>IF(HLOOKUP("Mins",A1:CV300,7,FALSE)=0,0,HLOOKUP("Headers",A1:CV300,7,FALSE)/HLOOKUP("Mins",A1:CV300,7,FALSE)* 90)</f>
      </c>
      <c r="BF7" s="15814">
        <f>IF(HLOOKUP("Mins",A1:CV300,7,FALSE)=0,0,HLOOKUP("SOT",A1:CV300,7,FALSE)/HLOOKUP("Mins",A1:CV300,7,FALSE)* 90)</f>
      </c>
      <c r="BG7" s="15815">
        <f>IF(HLOOKUP("Mins",A1:CV300,7,FALSE)=0,0,HLOOKUP("As",A1:CV300,7,FALSE)/HLOOKUP("Mins",A1:CV300,7,FALSE)* 90)</f>
      </c>
      <c r="BH7" s="15816">
        <f>IF(HLOOKUP("Mins",A1:CV300,7,FALSE)=0,0,HLOOKUP("FPL As",A1:CV300,7,FALSE)/HLOOKUP("Mins",A1:CV300,7,FALSE)* 90)</f>
      </c>
      <c r="BI7" s="15817">
        <f>IF(HLOOKUP("Mins",A1:CV300,7,FALSE)=0,0,HLOOKUP("BC Created",A1:CV300,7,FALSE)/HLOOKUP("Mins",A1:CV300,7,FALSE)* 90)</f>
      </c>
      <c r="BJ7" s="15818">
        <f>IF(HLOOKUP("Mins",A1:CV300,7,FALSE)=0,0,HLOOKUP("KP",A1:CV300,7,FALSE)/HLOOKUP("Mins",A1:CV300,7,FALSE)* 90)</f>
      </c>
      <c r="BK7" s="15819">
        <f>IF(HLOOKUP("Mins",A1:CV300,7,FALSE)=0,0,HLOOKUP("BC",A1:CV300,7,FALSE)/HLOOKUP("Mins",A1:CV300,7,FALSE)* 90)</f>
      </c>
      <c r="BL7" s="15820">
        <f>IF(HLOOKUP("Mins",A1:CV300,7,FALSE)=0,0,HLOOKUP("BC Miss",A1:CV300,7,FALSE)/HLOOKUP("Mins",A1:CV300,7,FALSE)* 90)</f>
      </c>
      <c r="BM7" s="15821">
        <f>IF(HLOOKUP("Mins",A1:CV300,7,FALSE)=0,0,HLOOKUP("Gs - BC",A1:CV300,7,FALSE)/HLOOKUP("Mins",A1:CV300,7,FALSE)* 90)</f>
      </c>
      <c r="BN7" s="15822">
        <f>IF(HLOOKUP("Mins",A1:CV300,7,FALSE)=0,0,HLOOKUP("GIB",A1:CV300,7,FALSE)/HLOOKUP("Mins",A1:CV300,7,FALSE)* 90)</f>
      </c>
      <c r="BO7" s="15823">
        <f>IF(HLOOKUP("Mins",A1:CV300,7,FALSE)=0,0,HLOOKUP("Gs - Open",A1:CV300,7,FALSE)/HLOOKUP("Mins",A1:CV300,7,FALSE)* 90)</f>
      </c>
      <c r="BP7" s="15824">
        <f>IF(HLOOKUP("Mins",A1:CV300,7,FALSE)=0,0,HLOOKUP("ICT Index",A1:CV300,7,FALSE)/HLOOKUP("Mins",A1:CV300,7,FALSE)* 90)</f>
      </c>
      <c r="BQ7" s="15825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5826">
        <f>0.0885*HLOOKUP("KP/90",A1:CV300,7,FALSE)</f>
      </c>
      <c r="BS7" s="15827">
        <f>5*HLOOKUP("xG/90",A1:CV300,7,FALSE)+3*HLOOKUP("xA/90",A1:CV300,7,FALSE)</f>
      </c>
      <c r="BT7" s="15828">
        <f>HLOOKUP("xPts/90",A1:CV300,7,FALSE)-(5*0.75*(HLOOKUP("PK Gs",A1:CV300,7,FALSE)+HLOOKUP("PK Miss",A1:CV300,7,FALSE))*90/HLOOKUP("Mins",A1:CV300,7,FALSE))</f>
      </c>
      <c r="BU7" s="15829">
        <f>IF(HLOOKUP("Mins",A1:CV300,7,FALSE)=0,0,HLOOKUP("fsXG",A1:CV300,7,FALSE)/HLOOKUP("Mins",A1:CV300,7,FALSE)* 90)</f>
      </c>
      <c r="BV7" s="15830">
        <f>IF(HLOOKUP("Mins",A1:CV300,7,FALSE)=0,0,HLOOKUP("fsXA",A1:CV300,7,FALSE)/HLOOKUP("Mins",A1:CV300,7,FALSE)* 90)</f>
      </c>
      <c r="BW7" s="15831">
        <f>5*HLOOKUP("fsXG/90",A1:CV300,7,FALSE)+3*HLOOKUP("fsXA/90",A1:CV300,7,FALSE)</f>
      </c>
      <c r="BX7" t="n" s="15832">
        <v>0.08404842019081116</v>
      </c>
      <c r="BY7" t="n" s="15833">
        <v>0.3311085104942322</v>
      </c>
      <c r="BZ7" s="15834">
        <f>5*HLOOKUP("uXG/90",A1:CV300,7,FALSE)+3*HLOOKUP("uXA/90",A1:CV300,7,FALSE)</f>
      </c>
    </row>
    <row r="8">
      <c r="A8" t="s" s="15835">
        <v>299</v>
      </c>
      <c r="B8" t="s" s="15836">
        <v>144</v>
      </c>
      <c r="C8" t="n" s="15837">
        <v>4.800000190734863</v>
      </c>
      <c r="D8" t="n" s="15838">
        <v>10.0</v>
      </c>
      <c r="E8" t="n" s="15839">
        <v>1.0</v>
      </c>
      <c r="F8" t="n" s="15840">
        <v>2.0</v>
      </c>
      <c r="G8" t="n" s="15841">
        <v>0.0</v>
      </c>
      <c r="H8" t="n" s="15842">
        <v>0.0</v>
      </c>
      <c r="I8" t="n" s="15843">
        <v>7.0</v>
      </c>
      <c r="J8" s="15844">
        <f>HLOOKUP("BPS",A1:CV300,8,FALSE)-((-6*HLOOKUP("OG",A1:CV300,8,FALSE))+(-6*HLOOKUP("PK Miss",A1:CV300,8,FALSE))+(9*HLOOKUP("FPL As",A1:CV300,8,FALSE))+(0*HLOOKUP("CS",A1:CV300,8,FALSE))+(18*HLOOKUP("Gs",A1:CV300,8,FALSE)))</f>
      </c>
      <c r="K8" t="n" s="15845">
        <v>0.0</v>
      </c>
      <c r="L8" t="n" s="15846">
        <v>0.0</v>
      </c>
      <c r="M8" t="n" s="15847">
        <v>1.0</v>
      </c>
      <c r="N8" t="n" s="15848">
        <v>0.0</v>
      </c>
      <c r="O8" t="n" s="15849">
        <v>0.0</v>
      </c>
      <c r="P8" s="15850">
        <f>IF(HLOOKUP("Shots",A1:CV300,8,FALSE)=0,0,HLOOKUP("SIB",A1:CV300,8,FALSE)/HLOOKUP("Shots",A1:CV300,8,FALSE))</f>
      </c>
      <c r="Q8" t="n" s="15851">
        <v>0.0</v>
      </c>
      <c r="R8" s="15852">
        <f>IF(HLOOKUP("Shots",A1:CV300,8,FALSE)=0,0,HLOOKUP("S6YD",A1:CV300,8,FALSE)/HLOOKUP("Shots",A1:CV300,8,FALSE))</f>
      </c>
      <c r="S8" t="n" s="15853">
        <v>0.0</v>
      </c>
      <c r="T8" s="15854">
        <f>IF(HLOOKUP("Shots",A1:CV300,8,FALSE)=0,0,HLOOKUP("Headers",A1:CV300,8,FALSE)/HLOOKUP("Shots",A1:CV300,8,FALSE))</f>
      </c>
      <c r="U8" t="n" s="15855">
        <v>0.0</v>
      </c>
      <c r="V8" s="15856">
        <f>IF(HLOOKUP("Shots",A1:CV300,8,FALSE)=0,0,HLOOKUP("SOT",A1:CV300,8,FALSE)/HLOOKUP("Shots",A1:CV300,8,FALSE))</f>
      </c>
      <c r="W8" s="15857">
        <f>IF(HLOOKUP("Shots",A1:CV300,8,FALSE)=0,0,HLOOKUP("Gs",A1:CV300,8,FALSE)/HLOOKUP("Shots",A1:CV300,8,FALSE))</f>
      </c>
      <c r="X8" t="n" s="15858">
        <v>0.0</v>
      </c>
      <c r="Y8" t="n" s="15859">
        <v>0.0</v>
      </c>
      <c r="Z8" t="n" s="15860">
        <v>2.0</v>
      </c>
      <c r="AA8" s="15861">
        <f>IF(HLOOKUP("KP",A1:CV300,8,FALSE)=0,0,HLOOKUP("As",A1:CV300,8,FALSE)/HLOOKUP("KP",A1:CV300,8,FALSE))</f>
      </c>
      <c r="AB8" s="15862"/>
      <c r="AC8" t="n" s="15863">
        <v>0.0</v>
      </c>
      <c r="AD8" t="n" s="15864">
        <v>0.0</v>
      </c>
      <c r="AE8" t="n" s="15865">
        <v>0.0</v>
      </c>
      <c r="AF8" t="n" s="15866">
        <v>0.0</v>
      </c>
      <c r="AG8" s="15867">
        <f>IF(HLOOKUP("BC",A1:CV300,8,FALSE)=0,0,HLOOKUP("Gs - BC",A1:CV300,8,FALSE)/HLOOKUP("BC",A1:CV300,8,FALSE))</f>
      </c>
      <c r="AH8" s="15868">
        <f>HLOOKUP("BC",A1:CV300,8,FALSE) - HLOOKUP("BC Miss",A1:CV300,8,FALSE)</f>
      </c>
      <c r="AI8" s="15869">
        <f>IF(HLOOKUP("Gs",A1:CV300,8,FALSE)=0,0,HLOOKUP("Gs - BC",A1:CV300,8,FALSE)/HLOOKUP("Gs",A1:CV300,8,FALSE))</f>
      </c>
      <c r="AJ8" t="n" s="15870">
        <v>0.0</v>
      </c>
      <c r="AK8" t="n" s="15871">
        <v>0.0</v>
      </c>
      <c r="AL8" s="15872">
        <f>HLOOKUP("BC",A1:CV300,8,FALSE) - (HLOOKUP("PK Gs",A1:CV300,8,FALSE) + HLOOKUP("PK Miss",A1:CV300,8,FALSE))</f>
      </c>
      <c r="AM8" s="15873">
        <f>HLOOKUP("BC Miss",A1:CV300,8,FALSE) - HLOOKUP("PK Miss",A1:CV300,8,FALSE)</f>
      </c>
      <c r="AN8" s="15874">
        <f>IF(HLOOKUP("BC - Open",A1:CV300,8,FALSE)=0,0,HLOOKUP("BC - Open Miss",A1:CV300,8,FALSE)/HLOOKUP("BC - Open",A1:CV300,8,FALSE))</f>
      </c>
      <c r="AO8" t="n" s="15875">
        <v>0.0</v>
      </c>
      <c r="AP8" s="15876">
        <f>IF(HLOOKUP("Gs",A1:CV300,8,FALSE)=0,0,HLOOKUP("GIB",A1:CV300,8,FALSE)/HLOOKUP("Gs",A1:CV300,8,FALSE))</f>
      </c>
      <c r="AQ8" t="n" s="15877">
        <v>0.0</v>
      </c>
      <c r="AR8" s="15878">
        <f>IF(HLOOKUP("Gs",A1:CV300,8,FALSE)=0,0,HLOOKUP("Gs - Open",A1:CV300,8,FALSE)/HLOOKUP("Gs",A1:CV300,8,FALSE))</f>
      </c>
      <c r="AS8" t="n" s="15879">
        <v>0.0</v>
      </c>
      <c r="AT8" t="n" s="15880">
        <v>0.18</v>
      </c>
      <c r="AU8" s="15881">
        <f>IF(HLOOKUP("Mins",A1:CV300,8,FALSE)=0,0,HLOOKUP("Pts",A1:CV300,8,FALSE)/HLOOKUP("Mins",A1:CV300,8,FALSE)* 90)</f>
      </c>
      <c r="AV8" s="15882">
        <f>IF(HLOOKUP("Apps",A1:CV300,8,FALSE)=0,0,HLOOKUP("Pts",A1:CV300,8,FALSE)/HLOOKUP("Apps",A1:CV300,8,FALSE)* 1)</f>
      </c>
      <c r="AW8" s="15883">
        <f>IF(HLOOKUP("Mins",A1:CV300,8,FALSE)=0,0,HLOOKUP("Gs",A1:CV300,8,FALSE)/HLOOKUP("Mins",A1:CV300,8,FALSE)* 90)</f>
      </c>
      <c r="AX8" s="15884">
        <f>IF(HLOOKUP("Mins",A1:CV300,8,FALSE)=0,0,HLOOKUP("Bonus",A1:CV300,8,FALSE)/HLOOKUP("Mins",A1:CV300,8,FALSE)* 90)</f>
      </c>
      <c r="AY8" s="15885">
        <f>IF(HLOOKUP("Mins",A1:CV300,8,FALSE)=0,0,HLOOKUP("BPS",A1:CV300,8,FALSE)/HLOOKUP("Mins",A1:CV300,8,FALSE)* 90)</f>
      </c>
      <c r="AZ8" s="15886">
        <f>IF(HLOOKUP("Mins",A1:CV300,8,FALSE)=0,0,HLOOKUP("Base BPS",A1:CV300,8,FALSE)/HLOOKUP("Mins",A1:CV300,8,FALSE)* 90)</f>
      </c>
      <c r="BA8" s="15887">
        <f>IF(HLOOKUP("Mins",A1:CV300,8,FALSE)=0,0,HLOOKUP("PenTchs",A1:CV300,8,FALSE)/HLOOKUP("Mins",A1:CV300,8,FALSE)* 90)</f>
      </c>
      <c r="BB8" s="15888">
        <f>IF(HLOOKUP("Mins",A1:CV300,8,FALSE)=0,0,HLOOKUP("Shots",A1:CV300,8,FALSE)/HLOOKUP("Mins",A1:CV300,8,FALSE)* 90)</f>
      </c>
      <c r="BC8" s="15889">
        <f>IF(HLOOKUP("Mins",A1:CV300,8,FALSE)=0,0,HLOOKUP("SIB",A1:CV300,8,FALSE)/HLOOKUP("Mins",A1:CV300,8,FALSE)* 90)</f>
      </c>
      <c r="BD8" s="15890">
        <f>IF(HLOOKUP("Mins",A1:CV300,8,FALSE)=0,0,HLOOKUP("S6YD",A1:CV300,8,FALSE)/HLOOKUP("Mins",A1:CV300,8,FALSE)* 90)</f>
      </c>
      <c r="BE8" s="15891">
        <f>IF(HLOOKUP("Mins",A1:CV300,8,FALSE)=0,0,HLOOKUP("Headers",A1:CV300,8,FALSE)/HLOOKUP("Mins",A1:CV300,8,FALSE)* 90)</f>
      </c>
      <c r="BF8" s="15892">
        <f>IF(HLOOKUP("Mins",A1:CV300,8,FALSE)=0,0,HLOOKUP("SOT",A1:CV300,8,FALSE)/HLOOKUP("Mins",A1:CV300,8,FALSE)* 90)</f>
      </c>
      <c r="BG8" s="15893">
        <f>IF(HLOOKUP("Mins",A1:CV300,8,FALSE)=0,0,HLOOKUP("As",A1:CV300,8,FALSE)/HLOOKUP("Mins",A1:CV300,8,FALSE)* 90)</f>
      </c>
      <c r="BH8" s="15894">
        <f>IF(HLOOKUP("Mins",A1:CV300,8,FALSE)=0,0,HLOOKUP("FPL As",A1:CV300,8,FALSE)/HLOOKUP("Mins",A1:CV300,8,FALSE)* 90)</f>
      </c>
      <c r="BI8" s="15895">
        <f>IF(HLOOKUP("Mins",A1:CV300,8,FALSE)=0,0,HLOOKUP("BC Created",A1:CV300,8,FALSE)/HLOOKUP("Mins",A1:CV300,8,FALSE)* 90)</f>
      </c>
      <c r="BJ8" s="15896">
        <f>IF(HLOOKUP("Mins",A1:CV300,8,FALSE)=0,0,HLOOKUP("KP",A1:CV300,8,FALSE)/HLOOKUP("Mins",A1:CV300,8,FALSE)* 90)</f>
      </c>
      <c r="BK8" s="15897">
        <f>IF(HLOOKUP("Mins",A1:CV300,8,FALSE)=0,0,HLOOKUP("BC",A1:CV300,8,FALSE)/HLOOKUP("Mins",A1:CV300,8,FALSE)* 90)</f>
      </c>
      <c r="BL8" s="15898">
        <f>IF(HLOOKUP("Mins",A1:CV300,8,FALSE)=0,0,HLOOKUP("BC Miss",A1:CV300,8,FALSE)/HLOOKUP("Mins",A1:CV300,8,FALSE)* 90)</f>
      </c>
      <c r="BM8" s="15899">
        <f>IF(HLOOKUP("Mins",A1:CV300,8,FALSE)=0,0,HLOOKUP("Gs - BC",A1:CV300,8,FALSE)/HLOOKUP("Mins",A1:CV300,8,FALSE)* 90)</f>
      </c>
      <c r="BN8" s="15900">
        <f>IF(HLOOKUP("Mins",A1:CV300,8,FALSE)=0,0,HLOOKUP("GIB",A1:CV300,8,FALSE)/HLOOKUP("Mins",A1:CV300,8,FALSE)* 90)</f>
      </c>
      <c r="BO8" s="15901">
        <f>IF(HLOOKUP("Mins",A1:CV300,8,FALSE)=0,0,HLOOKUP("Gs - Open",A1:CV300,8,FALSE)/HLOOKUP("Mins",A1:CV300,8,FALSE)* 90)</f>
      </c>
      <c r="BP8" s="15902">
        <f>IF(HLOOKUP("Mins",A1:CV300,8,FALSE)=0,0,HLOOKUP("ICT Index",A1:CV300,8,FALSE)/HLOOKUP("Mins",A1:CV300,8,FALSE)* 90)</f>
      </c>
      <c r="BQ8" s="15903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5904">
        <f>0.0885*HLOOKUP("KP/90",A1:CV300,8,FALSE)</f>
      </c>
      <c r="BS8" s="15905">
        <f>5*HLOOKUP("xG/90",A1:CV300,8,FALSE)+3*HLOOKUP("xA/90",A1:CV300,8,FALSE)</f>
      </c>
      <c r="BT8" s="15906">
        <f>HLOOKUP("xPts/90",A1:CV300,8,FALSE)-(5*0.75*(HLOOKUP("PK Gs",A1:CV300,8,FALSE)+HLOOKUP("PK Miss",A1:CV300,8,FALSE))*90/HLOOKUP("Mins",A1:CV300,8,FALSE))</f>
      </c>
      <c r="BU8" s="15907">
        <f>IF(HLOOKUP("Mins",A1:CV300,8,FALSE)=0,0,HLOOKUP("fsXG",A1:CV300,8,FALSE)/HLOOKUP("Mins",A1:CV300,8,FALSE)* 90)</f>
      </c>
      <c r="BV8" s="15908">
        <f>IF(HLOOKUP("Mins",A1:CV300,8,FALSE)=0,0,HLOOKUP("fsXA",A1:CV300,8,FALSE)/HLOOKUP("Mins",A1:CV300,8,FALSE)* 90)</f>
      </c>
      <c r="BW8" s="15909">
        <f>5*HLOOKUP("fsXG/90",A1:CV300,8,FALSE)+3*HLOOKUP("fsXA/90",A1:CV300,8,FALSE)</f>
      </c>
      <c r="BX8" t="n" s="15910">
        <v>0.0</v>
      </c>
      <c r="BY8" t="n" s="15911">
        <v>2.2920327186584473</v>
      </c>
      <c r="BZ8" s="15912">
        <f>5*HLOOKUP("uXG/90",A1:CV300,8,FALSE)+3*HLOOKUP("uXA/90",A1:CV300,8,FALSE)</f>
      </c>
    </row>
    <row r="9">
      <c r="A9" t="s" s="15913">
        <v>300</v>
      </c>
      <c r="B9" t="s" s="15914">
        <v>109</v>
      </c>
      <c r="C9" t="n" s="15915">
        <v>4.800000190734863</v>
      </c>
      <c r="D9" t="n" s="15916">
        <v>422.0</v>
      </c>
      <c r="E9" t="n" s="15917">
        <v>5.0</v>
      </c>
      <c r="F9" t="n" s="15918">
        <v>41.0</v>
      </c>
      <c r="G9" t="n" s="15919">
        <v>1.0</v>
      </c>
      <c r="H9" t="n" s="15920">
        <v>6.0</v>
      </c>
      <c r="I9" t="n" s="15921">
        <v>184.0</v>
      </c>
      <c r="J9" s="15922">
        <f>HLOOKUP("BPS",A1:CV300,9,FALSE)-((-6*HLOOKUP("OG",A1:CV300,9,FALSE))+(-6*HLOOKUP("PK Miss",A1:CV300,9,FALSE))+(9*HLOOKUP("FPL As",A1:CV300,9,FALSE))+(0*HLOOKUP("CS",A1:CV300,9,FALSE))+(18*HLOOKUP("Gs",A1:CV300,9,FALSE)))</f>
      </c>
      <c r="K9" t="n" s="15923">
        <v>0.0</v>
      </c>
      <c r="L9" t="n" s="15924">
        <v>3.0</v>
      </c>
      <c r="M9" t="n" s="15925">
        <v>15.0</v>
      </c>
      <c r="N9" t="n" s="15926">
        <v>8.0</v>
      </c>
      <c r="O9" t="n" s="15927">
        <v>3.0</v>
      </c>
      <c r="P9" s="15928">
        <f>IF(HLOOKUP("Shots",A1:CV300,9,FALSE)=0,0,HLOOKUP("SIB",A1:CV300,9,FALSE)/HLOOKUP("Shots",A1:CV300,9,FALSE))</f>
      </c>
      <c r="Q9" t="n" s="15929">
        <v>0.0</v>
      </c>
      <c r="R9" s="15930">
        <f>IF(HLOOKUP("Shots",A1:CV300,9,FALSE)=0,0,HLOOKUP("S6YD",A1:CV300,9,FALSE)/HLOOKUP("Shots",A1:CV300,9,FALSE))</f>
      </c>
      <c r="S9" t="n" s="15931">
        <v>0.0</v>
      </c>
      <c r="T9" s="15932">
        <f>IF(HLOOKUP("Shots",A1:CV300,9,FALSE)=0,0,HLOOKUP("Headers",A1:CV300,9,FALSE)/HLOOKUP("Shots",A1:CV300,9,FALSE))</f>
      </c>
      <c r="U9" t="n" s="15933">
        <v>2.0</v>
      </c>
      <c r="V9" s="15934">
        <f>IF(HLOOKUP("Shots",A1:CV300,9,FALSE)=0,0,HLOOKUP("SOT",A1:CV300,9,FALSE)/HLOOKUP("Shots",A1:CV300,9,FALSE))</f>
      </c>
      <c r="W9" s="15935">
        <f>IF(HLOOKUP("Shots",A1:CV300,9,FALSE)=0,0,HLOOKUP("Gs",A1:CV300,9,FALSE)/HLOOKUP("Shots",A1:CV300,9,FALSE))</f>
      </c>
      <c r="X9" t="n" s="15936">
        <v>0.0</v>
      </c>
      <c r="Y9" t="n" s="15937">
        <v>1.0</v>
      </c>
      <c r="Z9" t="n" s="15938">
        <v>11.0</v>
      </c>
      <c r="AA9" s="15939">
        <f>IF(HLOOKUP("KP",A1:CV300,9,FALSE)=0,0,HLOOKUP("As",A1:CV300,9,FALSE)/HLOOKUP("KP",A1:CV300,9,FALSE))</f>
      </c>
      <c r="AB9" s="15940"/>
      <c r="AC9" t="n" s="15941">
        <v>25.0</v>
      </c>
      <c r="AD9" t="n" s="15942">
        <v>0.0</v>
      </c>
      <c r="AE9" t="n" s="15943">
        <v>0.0</v>
      </c>
      <c r="AF9" t="n" s="15944">
        <v>0.0</v>
      </c>
      <c r="AG9" s="15945">
        <f>IF(HLOOKUP("BC",A1:CV300,9,FALSE)=0,0,HLOOKUP("Gs - BC",A1:CV300,9,FALSE)/HLOOKUP("BC",A1:CV300,9,FALSE))</f>
      </c>
      <c r="AH9" s="15946">
        <f>HLOOKUP("BC",A1:CV300,9,FALSE) - HLOOKUP("BC Miss",A1:CV300,9,FALSE)</f>
      </c>
      <c r="AI9" s="15947">
        <f>IF(HLOOKUP("Gs",A1:CV300,9,FALSE)=0,0,HLOOKUP("Gs - BC",A1:CV300,9,FALSE)/HLOOKUP("Gs",A1:CV300,9,FALSE))</f>
      </c>
      <c r="AJ9" t="n" s="15948">
        <v>0.0</v>
      </c>
      <c r="AK9" t="n" s="15949">
        <v>0.0</v>
      </c>
      <c r="AL9" s="15950">
        <f>HLOOKUP("BC",A1:CV300,9,FALSE) - (HLOOKUP("PK Gs",A1:CV300,9,FALSE) + HLOOKUP("PK Miss",A1:CV300,9,FALSE))</f>
      </c>
      <c r="AM9" s="15951">
        <f>HLOOKUP("BC Miss",A1:CV300,9,FALSE) - HLOOKUP("PK Miss",A1:CV300,9,FALSE)</f>
      </c>
      <c r="AN9" s="15952">
        <f>IF(HLOOKUP("BC - Open",A1:CV300,9,FALSE)=0,0,HLOOKUP("BC - Open Miss",A1:CV300,9,FALSE)/HLOOKUP("BC - Open",A1:CV300,9,FALSE))</f>
      </c>
      <c r="AO9" t="n" s="15953">
        <v>1.0</v>
      </c>
      <c r="AP9" s="15954">
        <f>IF(HLOOKUP("Gs",A1:CV300,9,FALSE)=0,0,HLOOKUP("GIB",A1:CV300,9,FALSE)/HLOOKUP("Gs",A1:CV300,9,FALSE))</f>
      </c>
      <c r="AQ9" t="n" s="15955">
        <v>1.0</v>
      </c>
      <c r="AR9" s="15956">
        <f>IF(HLOOKUP("Gs",A1:CV300,9,FALSE)=0,0,HLOOKUP("Gs - Open",A1:CV300,9,FALSE)/HLOOKUP("Gs",A1:CV300,9,FALSE))</f>
      </c>
      <c r="AS9" t="n" s="15957">
        <v>0.43</v>
      </c>
      <c r="AT9" t="n" s="15958">
        <v>0.39</v>
      </c>
      <c r="AU9" s="15959">
        <f>IF(HLOOKUP("Mins",A1:CV300,9,FALSE)=0,0,HLOOKUP("Pts",A1:CV300,9,FALSE)/HLOOKUP("Mins",A1:CV300,9,FALSE)* 90)</f>
      </c>
      <c r="AV9" s="15960">
        <f>IF(HLOOKUP("Apps",A1:CV300,9,FALSE)=0,0,HLOOKUP("Pts",A1:CV300,9,FALSE)/HLOOKUP("Apps",A1:CV300,9,FALSE)* 1)</f>
      </c>
      <c r="AW9" s="15961">
        <f>IF(HLOOKUP("Mins",A1:CV300,9,FALSE)=0,0,HLOOKUP("Gs",A1:CV300,9,FALSE)/HLOOKUP("Mins",A1:CV300,9,FALSE)* 90)</f>
      </c>
      <c r="AX9" s="15962">
        <f>IF(HLOOKUP("Mins",A1:CV300,9,FALSE)=0,0,HLOOKUP("Bonus",A1:CV300,9,FALSE)/HLOOKUP("Mins",A1:CV300,9,FALSE)* 90)</f>
      </c>
      <c r="AY9" s="15963">
        <f>IF(HLOOKUP("Mins",A1:CV300,9,FALSE)=0,0,HLOOKUP("BPS",A1:CV300,9,FALSE)/HLOOKUP("Mins",A1:CV300,9,FALSE)* 90)</f>
      </c>
      <c r="AZ9" s="15964">
        <f>IF(HLOOKUP("Mins",A1:CV300,9,FALSE)=0,0,HLOOKUP("Base BPS",A1:CV300,9,FALSE)/HLOOKUP("Mins",A1:CV300,9,FALSE)* 90)</f>
      </c>
      <c r="BA9" s="15965">
        <f>IF(HLOOKUP("Mins",A1:CV300,9,FALSE)=0,0,HLOOKUP("PenTchs",A1:CV300,9,FALSE)/HLOOKUP("Mins",A1:CV300,9,FALSE)* 90)</f>
      </c>
      <c r="BB9" s="15966">
        <f>IF(HLOOKUP("Mins",A1:CV300,9,FALSE)=0,0,HLOOKUP("Shots",A1:CV300,9,FALSE)/HLOOKUP("Mins",A1:CV300,9,FALSE)* 90)</f>
      </c>
      <c r="BC9" s="15967">
        <f>IF(HLOOKUP("Mins",A1:CV300,9,FALSE)=0,0,HLOOKUP("SIB",A1:CV300,9,FALSE)/HLOOKUP("Mins",A1:CV300,9,FALSE)* 90)</f>
      </c>
      <c r="BD9" s="15968">
        <f>IF(HLOOKUP("Mins",A1:CV300,9,FALSE)=0,0,HLOOKUP("S6YD",A1:CV300,9,FALSE)/HLOOKUP("Mins",A1:CV300,9,FALSE)* 90)</f>
      </c>
      <c r="BE9" s="15969">
        <f>IF(HLOOKUP("Mins",A1:CV300,9,FALSE)=0,0,HLOOKUP("Headers",A1:CV300,9,FALSE)/HLOOKUP("Mins",A1:CV300,9,FALSE)* 90)</f>
      </c>
      <c r="BF9" s="15970">
        <f>IF(HLOOKUP("Mins",A1:CV300,9,FALSE)=0,0,HLOOKUP("SOT",A1:CV300,9,FALSE)/HLOOKUP("Mins",A1:CV300,9,FALSE)* 90)</f>
      </c>
      <c r="BG9" s="15971">
        <f>IF(HLOOKUP("Mins",A1:CV300,9,FALSE)=0,0,HLOOKUP("As",A1:CV300,9,FALSE)/HLOOKUP("Mins",A1:CV300,9,FALSE)* 90)</f>
      </c>
      <c r="BH9" s="15972">
        <f>IF(HLOOKUP("Mins",A1:CV300,9,FALSE)=0,0,HLOOKUP("FPL As",A1:CV300,9,FALSE)/HLOOKUP("Mins",A1:CV300,9,FALSE)* 90)</f>
      </c>
      <c r="BI9" s="15973">
        <f>IF(HLOOKUP("Mins",A1:CV300,9,FALSE)=0,0,HLOOKUP("BC Created",A1:CV300,9,FALSE)/HLOOKUP("Mins",A1:CV300,9,FALSE)* 90)</f>
      </c>
      <c r="BJ9" s="15974">
        <f>IF(HLOOKUP("Mins",A1:CV300,9,FALSE)=0,0,HLOOKUP("KP",A1:CV300,9,FALSE)/HLOOKUP("Mins",A1:CV300,9,FALSE)* 90)</f>
      </c>
      <c r="BK9" s="15975">
        <f>IF(HLOOKUP("Mins",A1:CV300,9,FALSE)=0,0,HLOOKUP("BC",A1:CV300,9,FALSE)/HLOOKUP("Mins",A1:CV300,9,FALSE)* 90)</f>
      </c>
      <c r="BL9" s="15976">
        <f>IF(HLOOKUP("Mins",A1:CV300,9,FALSE)=0,0,HLOOKUP("BC Miss",A1:CV300,9,FALSE)/HLOOKUP("Mins",A1:CV300,9,FALSE)* 90)</f>
      </c>
      <c r="BM9" s="15977">
        <f>IF(HLOOKUP("Mins",A1:CV300,9,FALSE)=0,0,HLOOKUP("Gs - BC",A1:CV300,9,FALSE)/HLOOKUP("Mins",A1:CV300,9,FALSE)* 90)</f>
      </c>
      <c r="BN9" s="15978">
        <f>IF(HLOOKUP("Mins",A1:CV300,9,FALSE)=0,0,HLOOKUP("GIB",A1:CV300,9,FALSE)/HLOOKUP("Mins",A1:CV300,9,FALSE)* 90)</f>
      </c>
      <c r="BO9" s="15979">
        <f>IF(HLOOKUP("Mins",A1:CV300,9,FALSE)=0,0,HLOOKUP("Gs - Open",A1:CV300,9,FALSE)/HLOOKUP("Mins",A1:CV300,9,FALSE)* 90)</f>
      </c>
      <c r="BP9" s="15980">
        <f>IF(HLOOKUP("Mins",A1:CV300,9,FALSE)=0,0,HLOOKUP("ICT Index",A1:CV300,9,FALSE)/HLOOKUP("Mins",A1:CV300,9,FALSE)* 90)</f>
      </c>
      <c r="BQ9" s="15981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5982">
        <f>0.0885*HLOOKUP("KP/90",A1:CV300,9,FALSE)</f>
      </c>
      <c r="BS9" s="15983">
        <f>5*HLOOKUP("xG/90",A1:CV300,9,FALSE)+3*HLOOKUP("xA/90",A1:CV300,9,FALSE)</f>
      </c>
      <c r="BT9" s="15984">
        <f>HLOOKUP("xPts/90",A1:CV300,9,FALSE)-(5*0.75*(HLOOKUP("PK Gs",A1:CV300,9,FALSE)+HLOOKUP("PK Miss",A1:CV300,9,FALSE))*90/HLOOKUP("Mins",A1:CV300,9,FALSE))</f>
      </c>
      <c r="BU9" s="15985">
        <f>IF(HLOOKUP("Mins",A1:CV300,9,FALSE)=0,0,HLOOKUP("fsXG",A1:CV300,9,FALSE)/HLOOKUP("Mins",A1:CV300,9,FALSE)* 90)</f>
      </c>
      <c r="BV9" s="15986">
        <f>IF(HLOOKUP("Mins",A1:CV300,9,FALSE)=0,0,HLOOKUP("fsXA",A1:CV300,9,FALSE)/HLOOKUP("Mins",A1:CV300,9,FALSE)* 90)</f>
      </c>
      <c r="BW9" s="15987">
        <f>5*HLOOKUP("fsXG/90",A1:CV300,9,FALSE)+3*HLOOKUP("fsXA/90",A1:CV300,9,FALSE)</f>
      </c>
      <c r="BX9" t="n" s="15988">
        <v>0.11261294037103653</v>
      </c>
      <c r="BY9" t="n" s="15989">
        <v>0.1012851893901825</v>
      </c>
      <c r="BZ9" s="15990">
        <f>5*HLOOKUP("uXG/90",A1:CV300,9,FALSE)+3*HLOOKUP("uXA/90",A1:CV300,9,FALSE)</f>
      </c>
    </row>
    <row r="10">
      <c r="A10" t="s" s="15991">
        <v>301</v>
      </c>
      <c r="B10" t="s" s="15992">
        <v>117</v>
      </c>
      <c r="C10" t="n" s="15993">
        <v>5.300000190734863</v>
      </c>
      <c r="D10" t="n" s="15994">
        <v>315.0</v>
      </c>
      <c r="E10" t="n" s="15995">
        <v>4.0</v>
      </c>
      <c r="F10" t="n" s="15996">
        <v>42.0</v>
      </c>
      <c r="G10" t="n" s="15997">
        <v>0.0</v>
      </c>
      <c r="H10" t="n" s="15998">
        <v>3.0</v>
      </c>
      <c r="I10" t="n" s="15999">
        <v>149.0</v>
      </c>
      <c r="J10" s="16000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6001">
        <v>0.0</v>
      </c>
      <c r="L10" t="n" s="16002">
        <v>4.0</v>
      </c>
      <c r="M10" t="n" s="16003">
        <v>0.0</v>
      </c>
      <c r="N10" t="n" s="16004">
        <v>4.0</v>
      </c>
      <c r="O10" t="n" s="16005">
        <v>0.0</v>
      </c>
      <c r="P10" s="16006">
        <f>IF(HLOOKUP("Shots",A1:CV300,10,FALSE)=0,0,HLOOKUP("SIB",A1:CV300,10,FALSE)/HLOOKUP("Shots",A1:CV300,10,FALSE))</f>
      </c>
      <c r="Q10" t="n" s="16007">
        <v>0.0</v>
      </c>
      <c r="R10" s="16008">
        <f>IF(HLOOKUP("Shots",A1:CV300,10,FALSE)=0,0,HLOOKUP("S6YD",A1:CV300,10,FALSE)/HLOOKUP("Shots",A1:CV300,10,FALSE))</f>
      </c>
      <c r="S10" t="n" s="16009">
        <v>0.0</v>
      </c>
      <c r="T10" s="16010">
        <f>IF(HLOOKUP("Shots",A1:CV300,10,FALSE)=0,0,HLOOKUP("Headers",A1:CV300,10,FALSE)/HLOOKUP("Shots",A1:CV300,10,FALSE))</f>
      </c>
      <c r="U10" t="n" s="16011">
        <v>0.0</v>
      </c>
      <c r="V10" s="16012">
        <f>IF(HLOOKUP("Shots",A1:CV300,10,FALSE)=0,0,HLOOKUP("SOT",A1:CV300,10,FALSE)/HLOOKUP("Shots",A1:CV300,10,FALSE))</f>
      </c>
      <c r="W10" s="16013">
        <f>IF(HLOOKUP("Shots",A1:CV300,10,FALSE)=0,0,HLOOKUP("Gs",A1:CV300,10,FALSE)/HLOOKUP("Shots",A1:CV300,10,FALSE))</f>
      </c>
      <c r="X10" t="n" s="16014">
        <v>0.0</v>
      </c>
      <c r="Y10" t="n" s="16015">
        <v>1.0</v>
      </c>
      <c r="Z10" t="n" s="16016">
        <v>1.0</v>
      </c>
      <c r="AA10" s="16017">
        <f>IF(HLOOKUP("KP",A1:CV300,10,FALSE)=0,0,HLOOKUP("As",A1:CV300,10,FALSE)/HLOOKUP("KP",A1:CV300,10,FALSE))</f>
      </c>
      <c r="AB10" s="16018"/>
      <c r="AC10" t="n" s="16019">
        <v>0.0</v>
      </c>
      <c r="AD10" t="n" s="16020">
        <v>0.0</v>
      </c>
      <c r="AE10" t="n" s="16021">
        <v>0.0</v>
      </c>
      <c r="AF10" t="n" s="16022">
        <v>0.0</v>
      </c>
      <c r="AG10" s="16023">
        <f>IF(HLOOKUP("BC",A1:CV300,10,FALSE)=0,0,HLOOKUP("Gs - BC",A1:CV300,10,FALSE)/HLOOKUP("BC",A1:CV300,10,FALSE))</f>
      </c>
      <c r="AH10" s="16024">
        <f>HLOOKUP("BC",A1:CV300,10,FALSE) - HLOOKUP("BC Miss",A1:CV300,10,FALSE)</f>
      </c>
      <c r="AI10" s="16025">
        <f>IF(HLOOKUP("Gs",A1:CV300,10,FALSE)=0,0,HLOOKUP("Gs - BC",A1:CV300,10,FALSE)/HLOOKUP("Gs",A1:CV300,10,FALSE))</f>
      </c>
      <c r="AJ10" t="n" s="16026">
        <v>0.0</v>
      </c>
      <c r="AK10" t="n" s="16027">
        <v>0.0</v>
      </c>
      <c r="AL10" s="16028">
        <f>HLOOKUP("BC",A1:CV300,10,FALSE) - (HLOOKUP("PK Gs",A1:CV300,10,FALSE) + HLOOKUP("PK Miss",A1:CV300,10,FALSE))</f>
      </c>
      <c r="AM10" s="16029">
        <f>HLOOKUP("BC Miss",A1:CV300,10,FALSE) - HLOOKUP("PK Miss",A1:CV300,10,FALSE)</f>
      </c>
      <c r="AN10" s="16030">
        <f>IF(HLOOKUP("BC - Open",A1:CV300,10,FALSE)=0,0,HLOOKUP("BC - Open Miss",A1:CV300,10,FALSE)/HLOOKUP("BC - Open",A1:CV300,10,FALSE))</f>
      </c>
      <c r="AO10" t="n" s="16031">
        <v>0.0</v>
      </c>
      <c r="AP10" s="16032">
        <f>IF(HLOOKUP("Gs",A1:CV300,10,FALSE)=0,0,HLOOKUP("GIB",A1:CV300,10,FALSE)/HLOOKUP("Gs",A1:CV300,10,FALSE))</f>
      </c>
      <c r="AQ10" t="n" s="16033">
        <v>0.0</v>
      </c>
      <c r="AR10" s="16034">
        <f>IF(HLOOKUP("Gs",A1:CV300,10,FALSE)=0,0,HLOOKUP("Gs - Open",A1:CV300,10,FALSE)/HLOOKUP("Gs",A1:CV300,10,FALSE))</f>
      </c>
      <c r="AS10" t="n" s="16035">
        <v>0.14</v>
      </c>
      <c r="AT10" t="n" s="16036">
        <v>0.16</v>
      </c>
      <c r="AU10" s="16037">
        <f>IF(HLOOKUP("Mins",A1:CV300,10,FALSE)=0,0,HLOOKUP("Pts",A1:CV300,10,FALSE)/HLOOKUP("Mins",A1:CV300,10,FALSE)* 90)</f>
      </c>
      <c r="AV10" s="16038">
        <f>IF(HLOOKUP("Apps",A1:CV300,10,FALSE)=0,0,HLOOKUP("Pts",A1:CV300,10,FALSE)/HLOOKUP("Apps",A1:CV300,10,FALSE)* 1)</f>
      </c>
      <c r="AW10" s="16039">
        <f>IF(HLOOKUP("Mins",A1:CV300,10,FALSE)=0,0,HLOOKUP("Gs",A1:CV300,10,FALSE)/HLOOKUP("Mins",A1:CV300,10,FALSE)* 90)</f>
      </c>
      <c r="AX10" s="16040">
        <f>IF(HLOOKUP("Mins",A1:CV300,10,FALSE)=0,0,HLOOKUP("Bonus",A1:CV300,10,FALSE)/HLOOKUP("Mins",A1:CV300,10,FALSE)* 90)</f>
      </c>
      <c r="AY10" s="16041">
        <f>IF(HLOOKUP("Mins",A1:CV300,10,FALSE)=0,0,HLOOKUP("BPS",A1:CV300,10,FALSE)/HLOOKUP("Mins",A1:CV300,10,FALSE)* 90)</f>
      </c>
      <c r="AZ10" s="16042">
        <f>IF(HLOOKUP("Mins",A1:CV300,10,FALSE)=0,0,HLOOKUP("Base BPS",A1:CV300,10,FALSE)/HLOOKUP("Mins",A1:CV300,10,FALSE)* 90)</f>
      </c>
      <c r="BA10" s="16043">
        <f>IF(HLOOKUP("Mins",A1:CV300,10,FALSE)=0,0,HLOOKUP("PenTchs",A1:CV300,10,FALSE)/HLOOKUP("Mins",A1:CV300,10,FALSE)* 90)</f>
      </c>
      <c r="BB10" s="16044">
        <f>IF(HLOOKUP("Mins",A1:CV300,10,FALSE)=0,0,HLOOKUP("Shots",A1:CV300,10,FALSE)/HLOOKUP("Mins",A1:CV300,10,FALSE)* 90)</f>
      </c>
      <c r="BC10" s="16045">
        <f>IF(HLOOKUP("Mins",A1:CV300,10,FALSE)=0,0,HLOOKUP("SIB",A1:CV300,10,FALSE)/HLOOKUP("Mins",A1:CV300,10,FALSE)* 90)</f>
      </c>
      <c r="BD10" s="16046">
        <f>IF(HLOOKUP("Mins",A1:CV300,10,FALSE)=0,0,HLOOKUP("S6YD",A1:CV300,10,FALSE)/HLOOKUP("Mins",A1:CV300,10,FALSE)* 90)</f>
      </c>
      <c r="BE10" s="16047">
        <f>IF(HLOOKUP("Mins",A1:CV300,10,FALSE)=0,0,HLOOKUP("Headers",A1:CV300,10,FALSE)/HLOOKUP("Mins",A1:CV300,10,FALSE)* 90)</f>
      </c>
      <c r="BF10" s="16048">
        <f>IF(HLOOKUP("Mins",A1:CV300,10,FALSE)=0,0,HLOOKUP("SOT",A1:CV300,10,FALSE)/HLOOKUP("Mins",A1:CV300,10,FALSE)* 90)</f>
      </c>
      <c r="BG10" s="16049">
        <f>IF(HLOOKUP("Mins",A1:CV300,10,FALSE)=0,0,HLOOKUP("As",A1:CV300,10,FALSE)/HLOOKUP("Mins",A1:CV300,10,FALSE)* 90)</f>
      </c>
      <c r="BH10" s="16050">
        <f>IF(HLOOKUP("Mins",A1:CV300,10,FALSE)=0,0,HLOOKUP("FPL As",A1:CV300,10,FALSE)/HLOOKUP("Mins",A1:CV300,10,FALSE)* 90)</f>
      </c>
      <c r="BI10" s="16051">
        <f>IF(HLOOKUP("Mins",A1:CV300,10,FALSE)=0,0,HLOOKUP("BC Created",A1:CV300,10,FALSE)/HLOOKUP("Mins",A1:CV300,10,FALSE)* 90)</f>
      </c>
      <c r="BJ10" s="16052">
        <f>IF(HLOOKUP("Mins",A1:CV300,10,FALSE)=0,0,HLOOKUP("KP",A1:CV300,10,FALSE)/HLOOKUP("Mins",A1:CV300,10,FALSE)* 90)</f>
      </c>
      <c r="BK10" s="16053">
        <f>IF(HLOOKUP("Mins",A1:CV300,10,FALSE)=0,0,HLOOKUP("BC",A1:CV300,10,FALSE)/HLOOKUP("Mins",A1:CV300,10,FALSE)* 90)</f>
      </c>
      <c r="BL10" s="16054">
        <f>IF(HLOOKUP("Mins",A1:CV300,10,FALSE)=0,0,HLOOKUP("BC Miss",A1:CV300,10,FALSE)/HLOOKUP("Mins",A1:CV300,10,FALSE)* 90)</f>
      </c>
      <c r="BM10" s="16055">
        <f>IF(HLOOKUP("Mins",A1:CV300,10,FALSE)=0,0,HLOOKUP("Gs - BC",A1:CV300,10,FALSE)/HLOOKUP("Mins",A1:CV300,10,FALSE)* 90)</f>
      </c>
      <c r="BN10" s="16056">
        <f>IF(HLOOKUP("Mins",A1:CV300,10,FALSE)=0,0,HLOOKUP("GIB",A1:CV300,10,FALSE)/HLOOKUP("Mins",A1:CV300,10,FALSE)* 90)</f>
      </c>
      <c r="BO10" s="16057">
        <f>IF(HLOOKUP("Mins",A1:CV300,10,FALSE)=0,0,HLOOKUP("Gs - Open",A1:CV300,10,FALSE)/HLOOKUP("Mins",A1:CV300,10,FALSE)* 90)</f>
      </c>
      <c r="BP10" s="16058">
        <f>IF(HLOOKUP("Mins",A1:CV300,10,FALSE)=0,0,HLOOKUP("ICT Index",A1:CV300,10,FALSE)/HLOOKUP("Mins",A1:CV300,10,FALSE)* 90)</f>
      </c>
      <c r="BQ10" s="16059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6060">
        <f>0.0885*HLOOKUP("KP/90",A1:CV300,10,FALSE)</f>
      </c>
      <c r="BS10" s="16061">
        <f>5*HLOOKUP("xG/90",A1:CV300,10,FALSE)+3*HLOOKUP("xA/90",A1:CV300,10,FALSE)</f>
      </c>
      <c r="BT10" s="16062">
        <f>HLOOKUP("xPts/90",A1:CV300,10,FALSE)-(5*0.75*(HLOOKUP("PK Gs",A1:CV300,10,FALSE)+HLOOKUP("PK Miss",A1:CV300,10,FALSE))*90/HLOOKUP("Mins",A1:CV300,10,FALSE))</f>
      </c>
      <c r="BU10" s="16063">
        <f>IF(HLOOKUP("Mins",A1:CV300,10,FALSE)=0,0,HLOOKUP("fsXG",A1:CV300,10,FALSE)/HLOOKUP("Mins",A1:CV300,10,FALSE)* 90)</f>
      </c>
      <c r="BV10" s="16064">
        <f>IF(HLOOKUP("Mins",A1:CV300,10,FALSE)=0,0,HLOOKUP("fsXA",A1:CV300,10,FALSE)/HLOOKUP("Mins",A1:CV300,10,FALSE)* 90)</f>
      </c>
      <c r="BW10" s="16065">
        <f>5*HLOOKUP("fsXG/90",A1:CV300,10,FALSE)+3*HLOOKUP("fsXA/90",A1:CV300,10,FALSE)</f>
      </c>
      <c r="BX10" t="n" s="16066">
        <v>0.024051640182733536</v>
      </c>
      <c r="BY10" t="n" s="16067">
        <v>0.01219311822205782</v>
      </c>
      <c r="BZ10" s="16068">
        <f>5*HLOOKUP("uXG/90",A1:CV300,10,FALSE)+3*HLOOKUP("uXA/90",A1:CV300,10,FALSE)</f>
      </c>
    </row>
    <row r="11">
      <c r="A11" t="s" s="16069">
        <v>302</v>
      </c>
      <c r="B11" t="s" s="16070">
        <v>94</v>
      </c>
      <c r="C11" t="n" s="16071">
        <v>4.900000095367432</v>
      </c>
      <c r="D11" t="n" s="16072">
        <v>149.0</v>
      </c>
      <c r="E11" t="n" s="16073">
        <v>3.0</v>
      </c>
      <c r="F11" t="n" s="16074">
        <v>15.0</v>
      </c>
      <c r="G11" t="n" s="16075">
        <v>0.0</v>
      </c>
      <c r="H11" t="n" s="16076">
        <v>0.0</v>
      </c>
      <c r="I11" t="n" s="16077">
        <v>69.0</v>
      </c>
      <c r="J11" s="16078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6079">
        <v>0.0</v>
      </c>
      <c r="L11" t="n" s="16080">
        <v>1.0</v>
      </c>
      <c r="M11" t="n" s="16081">
        <v>1.0</v>
      </c>
      <c r="N11" t="n" s="16082">
        <v>1.0</v>
      </c>
      <c r="O11" t="n" s="16083">
        <v>1.0</v>
      </c>
      <c r="P11" s="16084">
        <f>IF(HLOOKUP("Shots",A1:CV300,11,FALSE)=0,0,HLOOKUP("SIB",A1:CV300,11,FALSE)/HLOOKUP("Shots",A1:CV300,11,FALSE))</f>
      </c>
      <c r="Q11" t="n" s="16085">
        <v>0.0</v>
      </c>
      <c r="R11" s="16086">
        <f>IF(HLOOKUP("Shots",A1:CV300,11,FALSE)=0,0,HLOOKUP("S6YD",A1:CV300,11,FALSE)/HLOOKUP("Shots",A1:CV300,11,FALSE))</f>
      </c>
      <c r="S11" t="n" s="16087">
        <v>0.0</v>
      </c>
      <c r="T11" s="16088">
        <f>IF(HLOOKUP("Shots",A1:CV300,11,FALSE)=0,0,HLOOKUP("Headers",A1:CV300,11,FALSE)/HLOOKUP("Shots",A1:CV300,11,FALSE))</f>
      </c>
      <c r="U11" t="n" s="16089">
        <v>0.0</v>
      </c>
      <c r="V11" s="16090">
        <f>IF(HLOOKUP("Shots",A1:CV300,11,FALSE)=0,0,HLOOKUP("SOT",A1:CV300,11,FALSE)/HLOOKUP("Shots",A1:CV300,11,FALSE))</f>
      </c>
      <c r="W11" s="16091">
        <f>IF(HLOOKUP("Shots",A1:CV300,11,FALSE)=0,0,HLOOKUP("Gs",A1:CV300,11,FALSE)/HLOOKUP("Shots",A1:CV300,11,FALSE))</f>
      </c>
      <c r="X11" t="n" s="16092">
        <v>1.0</v>
      </c>
      <c r="Y11" t="n" s="16093">
        <v>1.0</v>
      </c>
      <c r="Z11" t="n" s="16094">
        <v>1.0</v>
      </c>
      <c r="AA11" s="16095">
        <f>IF(HLOOKUP("KP",A1:CV300,11,FALSE)=0,0,HLOOKUP("As",A1:CV300,11,FALSE)/HLOOKUP("KP",A1:CV300,11,FALSE))</f>
      </c>
      <c r="AB11" s="16096"/>
      <c r="AC11" t="n" s="16097">
        <v>50.0</v>
      </c>
      <c r="AD11" t="n" s="16098">
        <v>0.0</v>
      </c>
      <c r="AE11" t="n" s="16099">
        <v>1.0</v>
      </c>
      <c r="AF11" t="n" s="16100">
        <v>1.0</v>
      </c>
      <c r="AG11" s="16101">
        <f>IF(HLOOKUP("BC",A1:CV300,11,FALSE)=0,0,HLOOKUP("Gs - BC",A1:CV300,11,FALSE)/HLOOKUP("BC",A1:CV300,11,FALSE))</f>
      </c>
      <c r="AH11" s="16102">
        <f>HLOOKUP("BC",A1:CV300,11,FALSE) - HLOOKUP("BC Miss",A1:CV300,11,FALSE)</f>
      </c>
      <c r="AI11" s="16103">
        <f>IF(HLOOKUP("Gs",A1:CV300,11,FALSE)=0,0,HLOOKUP("Gs - BC",A1:CV300,11,FALSE)/HLOOKUP("Gs",A1:CV300,11,FALSE))</f>
      </c>
      <c r="AJ11" t="n" s="16104">
        <v>0.0</v>
      </c>
      <c r="AK11" t="n" s="16105">
        <v>0.0</v>
      </c>
      <c r="AL11" s="16106">
        <f>HLOOKUP("BC",A1:CV300,11,FALSE) - (HLOOKUP("PK Gs",A1:CV300,11,FALSE) + HLOOKUP("PK Miss",A1:CV300,11,FALSE))</f>
      </c>
      <c r="AM11" s="16107">
        <f>HLOOKUP("BC Miss",A1:CV300,11,FALSE) - HLOOKUP("PK Miss",A1:CV300,11,FALSE)</f>
      </c>
      <c r="AN11" s="16108">
        <f>IF(HLOOKUP("BC - Open",A1:CV300,11,FALSE)=0,0,HLOOKUP("BC - Open Miss",A1:CV300,11,FALSE)/HLOOKUP("BC - Open",A1:CV300,11,FALSE))</f>
      </c>
      <c r="AO11" t="n" s="16109">
        <v>0.0</v>
      </c>
      <c r="AP11" s="16110">
        <f>IF(HLOOKUP("Gs",A1:CV300,11,FALSE)=0,0,HLOOKUP("GIB",A1:CV300,11,FALSE)/HLOOKUP("Gs",A1:CV300,11,FALSE))</f>
      </c>
      <c r="AQ11" t="n" s="16111">
        <v>0.0</v>
      </c>
      <c r="AR11" s="16112">
        <f>IF(HLOOKUP("Gs",A1:CV300,11,FALSE)=0,0,HLOOKUP("Gs - Open",A1:CV300,11,FALSE)/HLOOKUP("Gs",A1:CV300,11,FALSE))</f>
      </c>
      <c r="AS11" t="n" s="16113">
        <v>0.42</v>
      </c>
      <c r="AT11" t="n" s="16114">
        <v>0.09</v>
      </c>
      <c r="AU11" s="16115">
        <f>IF(HLOOKUP("Mins",A1:CV300,11,FALSE)=0,0,HLOOKUP("Pts",A1:CV300,11,FALSE)/HLOOKUP("Mins",A1:CV300,11,FALSE)* 90)</f>
      </c>
      <c r="AV11" s="16116">
        <f>IF(HLOOKUP("Apps",A1:CV300,11,FALSE)=0,0,HLOOKUP("Pts",A1:CV300,11,FALSE)/HLOOKUP("Apps",A1:CV300,11,FALSE)* 1)</f>
      </c>
      <c r="AW11" s="16117">
        <f>IF(HLOOKUP("Mins",A1:CV300,11,FALSE)=0,0,HLOOKUP("Gs",A1:CV300,11,FALSE)/HLOOKUP("Mins",A1:CV300,11,FALSE)* 90)</f>
      </c>
      <c r="AX11" s="16118">
        <f>IF(HLOOKUP("Mins",A1:CV300,11,FALSE)=0,0,HLOOKUP("Bonus",A1:CV300,11,FALSE)/HLOOKUP("Mins",A1:CV300,11,FALSE)* 90)</f>
      </c>
      <c r="AY11" s="16119">
        <f>IF(HLOOKUP("Mins",A1:CV300,11,FALSE)=0,0,HLOOKUP("BPS",A1:CV300,11,FALSE)/HLOOKUP("Mins",A1:CV300,11,FALSE)* 90)</f>
      </c>
      <c r="AZ11" s="16120">
        <f>IF(HLOOKUP("Mins",A1:CV300,11,FALSE)=0,0,HLOOKUP("Base BPS",A1:CV300,11,FALSE)/HLOOKUP("Mins",A1:CV300,11,FALSE)* 90)</f>
      </c>
      <c r="BA11" s="16121">
        <f>IF(HLOOKUP("Mins",A1:CV300,11,FALSE)=0,0,HLOOKUP("PenTchs",A1:CV300,11,FALSE)/HLOOKUP("Mins",A1:CV300,11,FALSE)* 90)</f>
      </c>
      <c r="BB11" s="16122">
        <f>IF(HLOOKUP("Mins",A1:CV300,11,FALSE)=0,0,HLOOKUP("Shots",A1:CV300,11,FALSE)/HLOOKUP("Mins",A1:CV300,11,FALSE)* 90)</f>
      </c>
      <c r="BC11" s="16123">
        <f>IF(HLOOKUP("Mins",A1:CV300,11,FALSE)=0,0,HLOOKUP("SIB",A1:CV300,11,FALSE)/HLOOKUP("Mins",A1:CV300,11,FALSE)* 90)</f>
      </c>
      <c r="BD11" s="16124">
        <f>IF(HLOOKUP("Mins",A1:CV300,11,FALSE)=0,0,HLOOKUP("S6YD",A1:CV300,11,FALSE)/HLOOKUP("Mins",A1:CV300,11,FALSE)* 90)</f>
      </c>
      <c r="BE11" s="16125">
        <f>IF(HLOOKUP("Mins",A1:CV300,11,FALSE)=0,0,HLOOKUP("Headers",A1:CV300,11,FALSE)/HLOOKUP("Mins",A1:CV300,11,FALSE)* 90)</f>
      </c>
      <c r="BF11" s="16126">
        <f>IF(HLOOKUP("Mins",A1:CV300,11,FALSE)=0,0,HLOOKUP("SOT",A1:CV300,11,FALSE)/HLOOKUP("Mins",A1:CV300,11,FALSE)* 90)</f>
      </c>
      <c r="BG11" s="16127">
        <f>IF(HLOOKUP("Mins",A1:CV300,11,FALSE)=0,0,HLOOKUP("As",A1:CV300,11,FALSE)/HLOOKUP("Mins",A1:CV300,11,FALSE)* 90)</f>
      </c>
      <c r="BH11" s="16128">
        <f>IF(HLOOKUP("Mins",A1:CV300,11,FALSE)=0,0,HLOOKUP("FPL As",A1:CV300,11,FALSE)/HLOOKUP("Mins",A1:CV300,11,FALSE)* 90)</f>
      </c>
      <c r="BI11" s="16129">
        <f>IF(HLOOKUP("Mins",A1:CV300,11,FALSE)=0,0,HLOOKUP("BC Created",A1:CV300,11,FALSE)/HLOOKUP("Mins",A1:CV300,11,FALSE)* 90)</f>
      </c>
      <c r="BJ11" s="16130">
        <f>IF(HLOOKUP("Mins",A1:CV300,11,FALSE)=0,0,HLOOKUP("KP",A1:CV300,11,FALSE)/HLOOKUP("Mins",A1:CV300,11,FALSE)* 90)</f>
      </c>
      <c r="BK11" s="16131">
        <f>IF(HLOOKUP("Mins",A1:CV300,11,FALSE)=0,0,HLOOKUP("BC",A1:CV300,11,FALSE)/HLOOKUP("Mins",A1:CV300,11,FALSE)* 90)</f>
      </c>
      <c r="BL11" s="16132">
        <f>IF(HLOOKUP("Mins",A1:CV300,11,FALSE)=0,0,HLOOKUP("BC Miss",A1:CV300,11,FALSE)/HLOOKUP("Mins",A1:CV300,11,FALSE)* 90)</f>
      </c>
      <c r="BM11" s="16133">
        <f>IF(HLOOKUP("Mins",A1:CV300,11,FALSE)=0,0,HLOOKUP("Gs - BC",A1:CV300,11,FALSE)/HLOOKUP("Mins",A1:CV300,11,FALSE)* 90)</f>
      </c>
      <c r="BN11" s="16134">
        <f>IF(HLOOKUP("Mins",A1:CV300,11,FALSE)=0,0,HLOOKUP("GIB",A1:CV300,11,FALSE)/HLOOKUP("Mins",A1:CV300,11,FALSE)* 90)</f>
      </c>
      <c r="BO11" s="16135">
        <f>IF(HLOOKUP("Mins",A1:CV300,11,FALSE)=0,0,HLOOKUP("Gs - Open",A1:CV300,11,FALSE)/HLOOKUP("Mins",A1:CV300,11,FALSE)* 90)</f>
      </c>
      <c r="BP11" s="16136">
        <f>IF(HLOOKUP("Mins",A1:CV300,11,FALSE)=0,0,HLOOKUP("ICT Index",A1:CV300,11,FALSE)/HLOOKUP("Mins",A1:CV300,11,FALSE)* 90)</f>
      </c>
      <c r="BQ11" s="16137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6138">
        <f>0.0885*HLOOKUP("KP/90",A1:CV300,11,FALSE)</f>
      </c>
      <c r="BS11" s="16139">
        <f>5*HLOOKUP("xG/90",A1:CV300,11,FALSE)+3*HLOOKUP("xA/90",A1:CV300,11,FALSE)</f>
      </c>
      <c r="BT11" s="16140">
        <f>HLOOKUP("xPts/90",A1:CV300,11,FALSE)-(5*0.75*(HLOOKUP("PK Gs",A1:CV300,11,FALSE)+HLOOKUP("PK Miss",A1:CV300,11,FALSE))*90/HLOOKUP("Mins",A1:CV300,11,FALSE))</f>
      </c>
      <c r="BU11" s="16141">
        <f>IF(HLOOKUP("Mins",A1:CV300,11,FALSE)=0,0,HLOOKUP("fsXG",A1:CV300,11,FALSE)/HLOOKUP("Mins",A1:CV300,11,FALSE)* 90)</f>
      </c>
      <c r="BV11" s="16142">
        <f>IF(HLOOKUP("Mins",A1:CV300,11,FALSE)=0,0,HLOOKUP("fsXA",A1:CV300,11,FALSE)/HLOOKUP("Mins",A1:CV300,11,FALSE)* 90)</f>
      </c>
      <c r="BW11" s="16143">
        <f>5*HLOOKUP("fsXG/90",A1:CV300,11,FALSE)+3*HLOOKUP("fsXA/90",A1:CV300,11,FALSE)</f>
      </c>
      <c r="BX11" t="n" s="16144">
        <v>0.26926156878471375</v>
      </c>
      <c r="BY11" t="n" s="16145">
        <v>0.041390325874090195</v>
      </c>
      <c r="BZ11" s="16146">
        <f>5*HLOOKUP("uXG/90",A1:CV300,11,FALSE)+3*HLOOKUP("uXA/90",A1:CV300,11,FALSE)</f>
      </c>
    </row>
    <row r="12">
      <c r="A12" t="s" s="16147">
        <v>303</v>
      </c>
      <c r="B12" t="s" s="16148">
        <v>109</v>
      </c>
      <c r="C12" t="n" s="16149">
        <v>5.800000190734863</v>
      </c>
      <c r="D12" t="n" s="16150">
        <v>413.0</v>
      </c>
      <c r="E12" t="n" s="16151">
        <v>6.0</v>
      </c>
      <c r="F12" t="n" s="16152">
        <v>54.0</v>
      </c>
      <c r="G12" t="n" s="16153">
        <v>0.0</v>
      </c>
      <c r="H12" t="n" s="16154">
        <v>3.0</v>
      </c>
      <c r="I12" t="n" s="16155">
        <v>211.0</v>
      </c>
      <c r="J12" s="16156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6157">
        <v>0.0</v>
      </c>
      <c r="L12" t="n" s="16158">
        <v>1.0</v>
      </c>
      <c r="M12" t="n" s="16159">
        <v>18.0</v>
      </c>
      <c r="N12" t="n" s="16160">
        <v>6.0</v>
      </c>
      <c r="O12" t="n" s="16161">
        <v>4.0</v>
      </c>
      <c r="P12" s="16162">
        <f>IF(HLOOKUP("Shots",A1:CV300,12,FALSE)=0,0,HLOOKUP("SIB",A1:CV300,12,FALSE)/HLOOKUP("Shots",A1:CV300,12,FALSE))</f>
      </c>
      <c r="Q12" t="n" s="16163">
        <v>0.0</v>
      </c>
      <c r="R12" s="16164">
        <f>IF(HLOOKUP("Shots",A1:CV300,12,FALSE)=0,0,HLOOKUP("S6YD",A1:CV300,12,FALSE)/HLOOKUP("Shots",A1:CV300,12,FALSE))</f>
      </c>
      <c r="S12" t="n" s="16165">
        <v>0.0</v>
      </c>
      <c r="T12" s="16166">
        <f>IF(HLOOKUP("Shots",A1:CV300,12,FALSE)=0,0,HLOOKUP("Headers",A1:CV300,12,FALSE)/HLOOKUP("Shots",A1:CV300,12,FALSE))</f>
      </c>
      <c r="U12" t="n" s="16167">
        <v>2.0</v>
      </c>
      <c r="V12" s="16168">
        <f>IF(HLOOKUP("Shots",A1:CV300,12,FALSE)=0,0,HLOOKUP("SOT",A1:CV300,12,FALSE)/HLOOKUP("Shots",A1:CV300,12,FALSE))</f>
      </c>
      <c r="W12" s="16169">
        <f>IF(HLOOKUP("Shots",A1:CV300,12,FALSE)=0,0,HLOOKUP("Gs",A1:CV300,12,FALSE)/HLOOKUP("Shots",A1:CV300,12,FALSE))</f>
      </c>
      <c r="X12" t="n" s="16170">
        <v>1.0</v>
      </c>
      <c r="Y12" t="n" s="16171">
        <v>5.0</v>
      </c>
      <c r="Z12" t="n" s="16172">
        <v>9.0</v>
      </c>
      <c r="AA12" s="16173">
        <f>IF(HLOOKUP("KP",A1:CV300,12,FALSE)=0,0,HLOOKUP("As",A1:CV300,12,FALSE)/HLOOKUP("KP",A1:CV300,12,FALSE))</f>
      </c>
      <c r="AB12" s="16174"/>
      <c r="AC12" t="n" s="16175">
        <v>25.0</v>
      </c>
      <c r="AD12" t="n" s="16176">
        <v>0.0</v>
      </c>
      <c r="AE12" t="n" s="16177">
        <v>0.0</v>
      </c>
      <c r="AF12" t="n" s="16178">
        <v>0.0</v>
      </c>
      <c r="AG12" s="16179">
        <f>IF(HLOOKUP("BC",A1:CV300,12,FALSE)=0,0,HLOOKUP("Gs - BC",A1:CV300,12,FALSE)/HLOOKUP("BC",A1:CV300,12,FALSE))</f>
      </c>
      <c r="AH12" s="16180">
        <f>HLOOKUP("BC",A1:CV300,12,FALSE) - HLOOKUP("BC Miss",A1:CV300,12,FALSE)</f>
      </c>
      <c r="AI12" s="16181">
        <f>IF(HLOOKUP("Gs",A1:CV300,12,FALSE)=0,0,HLOOKUP("Gs - BC",A1:CV300,12,FALSE)/HLOOKUP("Gs",A1:CV300,12,FALSE))</f>
      </c>
      <c r="AJ12" t="n" s="16182">
        <v>0.0</v>
      </c>
      <c r="AK12" t="n" s="16183">
        <v>0.0</v>
      </c>
      <c r="AL12" s="16184">
        <f>HLOOKUP("BC",A1:CV300,12,FALSE) - (HLOOKUP("PK Gs",A1:CV300,12,FALSE) + HLOOKUP("PK Miss",A1:CV300,12,FALSE))</f>
      </c>
      <c r="AM12" s="16185">
        <f>HLOOKUP("BC Miss",A1:CV300,12,FALSE) - HLOOKUP("PK Miss",A1:CV300,12,FALSE)</f>
      </c>
      <c r="AN12" s="16186">
        <f>IF(HLOOKUP("BC - Open",A1:CV300,12,FALSE)=0,0,HLOOKUP("BC - Open Miss",A1:CV300,12,FALSE)/HLOOKUP("BC - Open",A1:CV300,12,FALSE))</f>
      </c>
      <c r="AO12" t="n" s="16187">
        <v>0.0</v>
      </c>
      <c r="AP12" s="16188">
        <f>IF(HLOOKUP("Gs",A1:CV300,12,FALSE)=0,0,HLOOKUP("GIB",A1:CV300,12,FALSE)/HLOOKUP("Gs",A1:CV300,12,FALSE))</f>
      </c>
      <c r="AQ12" t="n" s="16189">
        <v>0.0</v>
      </c>
      <c r="AR12" s="16190">
        <f>IF(HLOOKUP("Gs",A1:CV300,12,FALSE)=0,0,HLOOKUP("Gs - Open",A1:CV300,12,FALSE)/HLOOKUP("Gs",A1:CV300,12,FALSE))</f>
      </c>
      <c r="AS12" t="n" s="16191">
        <v>0.25</v>
      </c>
      <c r="AT12" t="n" s="16192">
        <v>0.64</v>
      </c>
      <c r="AU12" s="16193">
        <f>IF(HLOOKUP("Mins",A1:CV300,12,FALSE)=0,0,HLOOKUP("Pts",A1:CV300,12,FALSE)/HLOOKUP("Mins",A1:CV300,12,FALSE)* 90)</f>
      </c>
      <c r="AV12" s="16194">
        <f>IF(HLOOKUP("Apps",A1:CV300,12,FALSE)=0,0,HLOOKUP("Pts",A1:CV300,12,FALSE)/HLOOKUP("Apps",A1:CV300,12,FALSE)* 1)</f>
      </c>
      <c r="AW12" s="16195">
        <f>IF(HLOOKUP("Mins",A1:CV300,12,FALSE)=0,0,HLOOKUP("Gs",A1:CV300,12,FALSE)/HLOOKUP("Mins",A1:CV300,12,FALSE)* 90)</f>
      </c>
      <c r="AX12" s="16196">
        <f>IF(HLOOKUP("Mins",A1:CV300,12,FALSE)=0,0,HLOOKUP("Bonus",A1:CV300,12,FALSE)/HLOOKUP("Mins",A1:CV300,12,FALSE)* 90)</f>
      </c>
      <c r="AY12" s="16197">
        <f>IF(HLOOKUP("Mins",A1:CV300,12,FALSE)=0,0,HLOOKUP("BPS",A1:CV300,12,FALSE)/HLOOKUP("Mins",A1:CV300,12,FALSE)* 90)</f>
      </c>
      <c r="AZ12" s="16198">
        <f>IF(HLOOKUP("Mins",A1:CV300,12,FALSE)=0,0,HLOOKUP("Base BPS",A1:CV300,12,FALSE)/HLOOKUP("Mins",A1:CV300,12,FALSE)* 90)</f>
      </c>
      <c r="BA12" s="16199">
        <f>IF(HLOOKUP("Mins",A1:CV300,12,FALSE)=0,0,HLOOKUP("PenTchs",A1:CV300,12,FALSE)/HLOOKUP("Mins",A1:CV300,12,FALSE)* 90)</f>
      </c>
      <c r="BB12" s="16200">
        <f>IF(HLOOKUP("Mins",A1:CV300,12,FALSE)=0,0,HLOOKUP("Shots",A1:CV300,12,FALSE)/HLOOKUP("Mins",A1:CV300,12,FALSE)* 90)</f>
      </c>
      <c r="BC12" s="16201">
        <f>IF(HLOOKUP("Mins",A1:CV300,12,FALSE)=0,0,HLOOKUP("SIB",A1:CV300,12,FALSE)/HLOOKUP("Mins",A1:CV300,12,FALSE)* 90)</f>
      </c>
      <c r="BD12" s="16202">
        <f>IF(HLOOKUP("Mins",A1:CV300,12,FALSE)=0,0,HLOOKUP("S6YD",A1:CV300,12,FALSE)/HLOOKUP("Mins",A1:CV300,12,FALSE)* 90)</f>
      </c>
      <c r="BE12" s="16203">
        <f>IF(HLOOKUP("Mins",A1:CV300,12,FALSE)=0,0,HLOOKUP("Headers",A1:CV300,12,FALSE)/HLOOKUP("Mins",A1:CV300,12,FALSE)* 90)</f>
      </c>
      <c r="BF12" s="16204">
        <f>IF(HLOOKUP("Mins",A1:CV300,12,FALSE)=0,0,HLOOKUP("SOT",A1:CV300,12,FALSE)/HLOOKUP("Mins",A1:CV300,12,FALSE)* 90)</f>
      </c>
      <c r="BG12" s="16205">
        <f>IF(HLOOKUP("Mins",A1:CV300,12,FALSE)=0,0,HLOOKUP("As",A1:CV300,12,FALSE)/HLOOKUP("Mins",A1:CV300,12,FALSE)* 90)</f>
      </c>
      <c r="BH12" s="16206">
        <f>IF(HLOOKUP("Mins",A1:CV300,12,FALSE)=0,0,HLOOKUP("FPL As",A1:CV300,12,FALSE)/HLOOKUP("Mins",A1:CV300,12,FALSE)* 90)</f>
      </c>
      <c r="BI12" s="16207">
        <f>IF(HLOOKUP("Mins",A1:CV300,12,FALSE)=0,0,HLOOKUP("BC Created",A1:CV300,12,FALSE)/HLOOKUP("Mins",A1:CV300,12,FALSE)* 90)</f>
      </c>
      <c r="BJ12" s="16208">
        <f>IF(HLOOKUP("Mins",A1:CV300,12,FALSE)=0,0,HLOOKUP("KP",A1:CV300,12,FALSE)/HLOOKUP("Mins",A1:CV300,12,FALSE)* 90)</f>
      </c>
      <c r="BK12" s="16209">
        <f>IF(HLOOKUP("Mins",A1:CV300,12,FALSE)=0,0,HLOOKUP("BC",A1:CV300,12,FALSE)/HLOOKUP("Mins",A1:CV300,12,FALSE)* 90)</f>
      </c>
      <c r="BL12" s="16210">
        <f>IF(HLOOKUP("Mins",A1:CV300,12,FALSE)=0,0,HLOOKUP("BC Miss",A1:CV300,12,FALSE)/HLOOKUP("Mins",A1:CV300,12,FALSE)* 90)</f>
      </c>
      <c r="BM12" s="16211">
        <f>IF(HLOOKUP("Mins",A1:CV300,12,FALSE)=0,0,HLOOKUP("Gs - BC",A1:CV300,12,FALSE)/HLOOKUP("Mins",A1:CV300,12,FALSE)* 90)</f>
      </c>
      <c r="BN12" s="16212">
        <f>IF(HLOOKUP("Mins",A1:CV300,12,FALSE)=0,0,HLOOKUP("GIB",A1:CV300,12,FALSE)/HLOOKUP("Mins",A1:CV300,12,FALSE)* 90)</f>
      </c>
      <c r="BO12" s="16213">
        <f>IF(HLOOKUP("Mins",A1:CV300,12,FALSE)=0,0,HLOOKUP("Gs - Open",A1:CV300,12,FALSE)/HLOOKUP("Mins",A1:CV300,12,FALSE)* 90)</f>
      </c>
      <c r="BP12" s="16214">
        <f>IF(HLOOKUP("Mins",A1:CV300,12,FALSE)=0,0,HLOOKUP("ICT Index",A1:CV300,12,FALSE)/HLOOKUP("Mins",A1:CV300,12,FALSE)* 90)</f>
      </c>
      <c r="BQ12" s="16215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6216">
        <f>0.0885*HLOOKUP("KP/90",A1:CV300,12,FALSE)</f>
      </c>
      <c r="BS12" s="16217">
        <f>5*HLOOKUP("xG/90",A1:CV300,12,FALSE)+3*HLOOKUP("xA/90",A1:CV300,12,FALSE)</f>
      </c>
      <c r="BT12" s="16218">
        <f>HLOOKUP("xPts/90",A1:CV300,12,FALSE)-(5*0.75*(HLOOKUP("PK Gs",A1:CV300,12,FALSE)+HLOOKUP("PK Miss",A1:CV300,12,FALSE))*90/HLOOKUP("Mins",A1:CV300,12,FALSE))</f>
      </c>
      <c r="BU12" s="16219">
        <f>IF(HLOOKUP("Mins",A1:CV300,12,FALSE)=0,0,HLOOKUP("fsXG",A1:CV300,12,FALSE)/HLOOKUP("Mins",A1:CV300,12,FALSE)* 90)</f>
      </c>
      <c r="BV12" s="16220">
        <f>IF(HLOOKUP("Mins",A1:CV300,12,FALSE)=0,0,HLOOKUP("fsXA",A1:CV300,12,FALSE)/HLOOKUP("Mins",A1:CV300,12,FALSE)* 90)</f>
      </c>
      <c r="BW12" s="16221">
        <f>5*HLOOKUP("fsXG/90",A1:CV300,12,FALSE)+3*HLOOKUP("fsXA/90",A1:CV300,12,FALSE)</f>
      </c>
      <c r="BX12" t="n" s="16222">
        <v>0.05623703449964523</v>
      </c>
      <c r="BY12" t="n" s="16223">
        <v>0.1251906007528305</v>
      </c>
      <c r="BZ12" s="16224">
        <f>5*HLOOKUP("uXG/90",A1:CV300,12,FALSE)+3*HLOOKUP("uXA/90",A1:CV300,12,FALSE)</f>
      </c>
    </row>
    <row r="13">
      <c r="A13" t="s" s="16225">
        <v>304</v>
      </c>
      <c r="B13" t="s" s="16226">
        <v>80</v>
      </c>
      <c r="C13" t="n" s="16227">
        <v>4.400000095367432</v>
      </c>
      <c r="D13" t="n" s="16228">
        <v>233.0</v>
      </c>
      <c r="E13" t="n" s="16229">
        <v>4.0</v>
      </c>
      <c r="F13" t="n" s="16230">
        <v>40.0</v>
      </c>
      <c r="G13" t="n" s="16231">
        <v>0.0</v>
      </c>
      <c r="H13" t="n" s="16232">
        <v>2.0</v>
      </c>
      <c r="I13" t="n" s="16233">
        <v>240.0</v>
      </c>
      <c r="J13" s="16234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6235">
        <v>0.0</v>
      </c>
      <c r="L13" t="n" s="16236">
        <v>2.0</v>
      </c>
      <c r="M13" t="n" s="16237">
        <v>2.0</v>
      </c>
      <c r="N13" t="n" s="16238">
        <v>1.0</v>
      </c>
      <c r="O13" t="n" s="16239">
        <v>0.0</v>
      </c>
      <c r="P13" s="16240">
        <f>IF(HLOOKUP("Shots",A1:CV300,13,FALSE)=0,0,HLOOKUP("SIB",A1:CV300,13,FALSE)/HLOOKUP("Shots",A1:CV300,13,FALSE))</f>
      </c>
      <c r="Q13" t="n" s="16241">
        <v>0.0</v>
      </c>
      <c r="R13" s="16242">
        <f>IF(HLOOKUP("Shots",A1:CV300,13,FALSE)=0,0,HLOOKUP("S6YD",A1:CV300,13,FALSE)/HLOOKUP("Shots",A1:CV300,13,FALSE))</f>
      </c>
      <c r="S13" t="n" s="16243">
        <v>0.0</v>
      </c>
      <c r="T13" s="16244">
        <f>IF(HLOOKUP("Shots",A1:CV300,13,FALSE)=0,0,HLOOKUP("Headers",A1:CV300,13,FALSE)/HLOOKUP("Shots",A1:CV300,13,FALSE))</f>
      </c>
      <c r="U13" t="n" s="16245">
        <v>0.0</v>
      </c>
      <c r="V13" s="16246">
        <f>IF(HLOOKUP("Shots",A1:CV300,13,FALSE)=0,0,HLOOKUP("SOT",A1:CV300,13,FALSE)/HLOOKUP("Shots",A1:CV300,13,FALSE))</f>
      </c>
      <c r="W13" s="16247">
        <f>IF(HLOOKUP("Shots",A1:CV300,13,FALSE)=0,0,HLOOKUP("Gs",A1:CV300,13,FALSE)/HLOOKUP("Shots",A1:CV300,13,FALSE))</f>
      </c>
      <c r="X13" t="n" s="16248">
        <v>0.0</v>
      </c>
      <c r="Y13" t="n" s="16249">
        <v>2.0</v>
      </c>
      <c r="Z13" t="n" s="16250">
        <v>0.0</v>
      </c>
      <c r="AA13" s="16251">
        <f>IF(HLOOKUP("KP",A1:CV300,13,FALSE)=0,0,HLOOKUP("As",A1:CV300,13,FALSE)/HLOOKUP("KP",A1:CV300,13,FALSE))</f>
      </c>
      <c r="AB13" s="16252"/>
      <c r="AC13" t="n" s="16253">
        <v>0.0</v>
      </c>
      <c r="AD13" t="n" s="16254">
        <v>0.0</v>
      </c>
      <c r="AE13" t="n" s="16255">
        <v>0.0</v>
      </c>
      <c r="AF13" t="n" s="16256">
        <v>0.0</v>
      </c>
      <c r="AG13" s="16257">
        <f>IF(HLOOKUP("BC",A1:CV300,13,FALSE)=0,0,HLOOKUP("Gs - BC",A1:CV300,13,FALSE)/HLOOKUP("BC",A1:CV300,13,FALSE))</f>
      </c>
      <c r="AH13" s="16258">
        <f>HLOOKUP("BC",A1:CV300,13,FALSE) - HLOOKUP("BC Miss",A1:CV300,13,FALSE)</f>
      </c>
      <c r="AI13" s="16259">
        <f>IF(HLOOKUP("Gs",A1:CV300,13,FALSE)=0,0,HLOOKUP("Gs - BC",A1:CV300,13,FALSE)/HLOOKUP("Gs",A1:CV300,13,FALSE))</f>
      </c>
      <c r="AJ13" t="n" s="16260">
        <v>0.0</v>
      </c>
      <c r="AK13" t="n" s="16261">
        <v>0.0</v>
      </c>
      <c r="AL13" s="16262">
        <f>HLOOKUP("BC",A1:CV300,13,FALSE) - (HLOOKUP("PK Gs",A1:CV300,13,FALSE) + HLOOKUP("PK Miss",A1:CV300,13,FALSE))</f>
      </c>
      <c r="AM13" s="16263">
        <f>HLOOKUP("BC Miss",A1:CV300,13,FALSE) - HLOOKUP("PK Miss",A1:CV300,13,FALSE)</f>
      </c>
      <c r="AN13" s="16264">
        <f>IF(HLOOKUP("BC - Open",A1:CV300,13,FALSE)=0,0,HLOOKUP("BC - Open Miss",A1:CV300,13,FALSE)/HLOOKUP("BC - Open",A1:CV300,13,FALSE))</f>
      </c>
      <c r="AO13" t="n" s="16265">
        <v>0.0</v>
      </c>
      <c r="AP13" s="16266">
        <f>IF(HLOOKUP("Gs",A1:CV300,13,FALSE)=0,0,HLOOKUP("GIB",A1:CV300,13,FALSE)/HLOOKUP("Gs",A1:CV300,13,FALSE))</f>
      </c>
      <c r="AQ13" t="n" s="16267">
        <v>0.0</v>
      </c>
      <c r="AR13" s="16268">
        <f>IF(HLOOKUP("Gs",A1:CV300,13,FALSE)=0,0,HLOOKUP("Gs - Open",A1:CV300,13,FALSE)/HLOOKUP("Gs",A1:CV300,13,FALSE))</f>
      </c>
      <c r="AS13" t="n" s="16269">
        <v>0.04</v>
      </c>
      <c r="AT13" t="n" s="16270">
        <v>0.09</v>
      </c>
      <c r="AU13" s="16271">
        <f>IF(HLOOKUP("Mins",A1:CV300,13,FALSE)=0,0,HLOOKUP("Pts",A1:CV300,13,FALSE)/HLOOKUP("Mins",A1:CV300,13,FALSE)* 90)</f>
      </c>
      <c r="AV13" s="16272">
        <f>IF(HLOOKUP("Apps",A1:CV300,13,FALSE)=0,0,HLOOKUP("Pts",A1:CV300,13,FALSE)/HLOOKUP("Apps",A1:CV300,13,FALSE)* 1)</f>
      </c>
      <c r="AW13" s="16273">
        <f>IF(HLOOKUP("Mins",A1:CV300,13,FALSE)=0,0,HLOOKUP("Gs",A1:CV300,13,FALSE)/HLOOKUP("Mins",A1:CV300,13,FALSE)* 90)</f>
      </c>
      <c r="AX13" s="16274">
        <f>IF(HLOOKUP("Mins",A1:CV300,13,FALSE)=0,0,HLOOKUP("Bonus",A1:CV300,13,FALSE)/HLOOKUP("Mins",A1:CV300,13,FALSE)* 90)</f>
      </c>
      <c r="AY13" s="16275">
        <f>IF(HLOOKUP("Mins",A1:CV300,13,FALSE)=0,0,HLOOKUP("BPS",A1:CV300,13,FALSE)/HLOOKUP("Mins",A1:CV300,13,FALSE)* 90)</f>
      </c>
      <c r="AZ13" s="16276">
        <f>IF(HLOOKUP("Mins",A1:CV300,13,FALSE)=0,0,HLOOKUP("Base BPS",A1:CV300,13,FALSE)/HLOOKUP("Mins",A1:CV300,13,FALSE)* 90)</f>
      </c>
      <c r="BA13" s="16277">
        <f>IF(HLOOKUP("Mins",A1:CV300,13,FALSE)=0,0,HLOOKUP("PenTchs",A1:CV300,13,FALSE)/HLOOKUP("Mins",A1:CV300,13,FALSE)* 90)</f>
      </c>
      <c r="BB13" s="16278">
        <f>IF(HLOOKUP("Mins",A1:CV300,13,FALSE)=0,0,HLOOKUP("Shots",A1:CV300,13,FALSE)/HLOOKUP("Mins",A1:CV300,13,FALSE)* 90)</f>
      </c>
      <c r="BC13" s="16279">
        <f>IF(HLOOKUP("Mins",A1:CV300,13,FALSE)=0,0,HLOOKUP("SIB",A1:CV300,13,FALSE)/HLOOKUP("Mins",A1:CV300,13,FALSE)* 90)</f>
      </c>
      <c r="BD13" s="16280">
        <f>IF(HLOOKUP("Mins",A1:CV300,13,FALSE)=0,0,HLOOKUP("S6YD",A1:CV300,13,FALSE)/HLOOKUP("Mins",A1:CV300,13,FALSE)* 90)</f>
      </c>
      <c r="BE13" s="16281">
        <f>IF(HLOOKUP("Mins",A1:CV300,13,FALSE)=0,0,HLOOKUP("Headers",A1:CV300,13,FALSE)/HLOOKUP("Mins",A1:CV300,13,FALSE)* 90)</f>
      </c>
      <c r="BF13" s="16282">
        <f>IF(HLOOKUP("Mins",A1:CV300,13,FALSE)=0,0,HLOOKUP("SOT",A1:CV300,13,FALSE)/HLOOKUP("Mins",A1:CV300,13,FALSE)* 90)</f>
      </c>
      <c r="BG13" s="16283">
        <f>IF(HLOOKUP("Mins",A1:CV300,13,FALSE)=0,0,HLOOKUP("As",A1:CV300,13,FALSE)/HLOOKUP("Mins",A1:CV300,13,FALSE)* 90)</f>
      </c>
      <c r="BH13" s="16284">
        <f>IF(HLOOKUP("Mins",A1:CV300,13,FALSE)=0,0,HLOOKUP("FPL As",A1:CV300,13,FALSE)/HLOOKUP("Mins",A1:CV300,13,FALSE)* 90)</f>
      </c>
      <c r="BI13" s="16285">
        <f>IF(HLOOKUP("Mins",A1:CV300,13,FALSE)=0,0,HLOOKUP("BC Created",A1:CV300,13,FALSE)/HLOOKUP("Mins",A1:CV300,13,FALSE)* 90)</f>
      </c>
      <c r="BJ13" s="16286">
        <f>IF(HLOOKUP("Mins",A1:CV300,13,FALSE)=0,0,HLOOKUP("KP",A1:CV300,13,FALSE)/HLOOKUP("Mins",A1:CV300,13,FALSE)* 90)</f>
      </c>
      <c r="BK13" s="16287">
        <f>IF(HLOOKUP("Mins",A1:CV300,13,FALSE)=0,0,HLOOKUP("BC",A1:CV300,13,FALSE)/HLOOKUP("Mins",A1:CV300,13,FALSE)* 90)</f>
      </c>
      <c r="BL13" s="16288">
        <f>IF(HLOOKUP("Mins",A1:CV300,13,FALSE)=0,0,HLOOKUP("BC Miss",A1:CV300,13,FALSE)/HLOOKUP("Mins",A1:CV300,13,FALSE)* 90)</f>
      </c>
      <c r="BM13" s="16289">
        <f>IF(HLOOKUP("Mins",A1:CV300,13,FALSE)=0,0,HLOOKUP("Gs - BC",A1:CV300,13,FALSE)/HLOOKUP("Mins",A1:CV300,13,FALSE)* 90)</f>
      </c>
      <c r="BN13" s="16290">
        <f>IF(HLOOKUP("Mins",A1:CV300,13,FALSE)=0,0,HLOOKUP("GIB",A1:CV300,13,FALSE)/HLOOKUP("Mins",A1:CV300,13,FALSE)* 90)</f>
      </c>
      <c r="BO13" s="16291">
        <f>IF(HLOOKUP("Mins",A1:CV300,13,FALSE)=0,0,HLOOKUP("Gs - Open",A1:CV300,13,FALSE)/HLOOKUP("Mins",A1:CV300,13,FALSE)* 90)</f>
      </c>
      <c r="BP13" s="16292">
        <f>IF(HLOOKUP("Mins",A1:CV300,13,FALSE)=0,0,HLOOKUP("ICT Index",A1:CV300,13,FALSE)/HLOOKUP("Mins",A1:CV300,13,FALSE)* 90)</f>
      </c>
      <c r="BQ13" s="16293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6294">
        <f>0.0885*HLOOKUP("KP/90",A1:CV300,13,FALSE)</f>
      </c>
      <c r="BS13" s="16295">
        <f>5*HLOOKUP("xG/90",A1:CV300,13,FALSE)+3*HLOOKUP("xA/90",A1:CV300,13,FALSE)</f>
      </c>
      <c r="BT13" s="16296">
        <f>HLOOKUP("xPts/90",A1:CV300,13,FALSE)-(5*0.75*(HLOOKUP("PK Gs",A1:CV300,13,FALSE)+HLOOKUP("PK Miss",A1:CV300,13,FALSE))*90/HLOOKUP("Mins",A1:CV300,13,FALSE))</f>
      </c>
      <c r="BU13" s="16297">
        <f>IF(HLOOKUP("Mins",A1:CV300,13,FALSE)=0,0,HLOOKUP("fsXG",A1:CV300,13,FALSE)/HLOOKUP("Mins",A1:CV300,13,FALSE)* 90)</f>
      </c>
      <c r="BV13" s="16298">
        <f>IF(HLOOKUP("Mins",A1:CV300,13,FALSE)=0,0,HLOOKUP("fsXA",A1:CV300,13,FALSE)/HLOOKUP("Mins",A1:CV300,13,FALSE)* 90)</f>
      </c>
      <c r="BW13" s="16299">
        <f>5*HLOOKUP("fsXG/90",A1:CV300,13,FALSE)+3*HLOOKUP("fsXA/90",A1:CV300,13,FALSE)</f>
      </c>
      <c r="BX13" t="n" s="16300">
        <v>0.015264554880559444</v>
      </c>
      <c r="BY13" t="n" s="16301">
        <v>0.0</v>
      </c>
      <c r="BZ13" s="16302">
        <f>5*HLOOKUP("uXG/90",A1:CV300,13,FALSE)+3*HLOOKUP("uXA/90",A1:CV300,13,FALSE)</f>
      </c>
    </row>
    <row r="14">
      <c r="A14" t="s" s="16303">
        <v>305</v>
      </c>
      <c r="B14" t="s" s="16304">
        <v>87</v>
      </c>
      <c r="C14" t="n" s="16305">
        <v>4.400000095367432</v>
      </c>
      <c r="D14" t="n" s="16306">
        <v>150.0</v>
      </c>
      <c r="E14" t="n" s="16307">
        <v>4.0</v>
      </c>
      <c r="F14" t="n" s="16308">
        <v>11.0</v>
      </c>
      <c r="G14" t="n" s="16309">
        <v>0.0</v>
      </c>
      <c r="H14" t="n" s="16310">
        <v>0.0</v>
      </c>
      <c r="I14" t="n" s="16311">
        <v>34.0</v>
      </c>
      <c r="J14" s="16312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6313">
        <v>0.0</v>
      </c>
      <c r="L14" t="n" s="16314">
        <v>0.0</v>
      </c>
      <c r="M14" t="n" s="16315">
        <v>3.0</v>
      </c>
      <c r="N14" t="n" s="16316">
        <v>1.0</v>
      </c>
      <c r="O14" t="n" s="16317">
        <v>1.0</v>
      </c>
      <c r="P14" s="16318">
        <f>IF(HLOOKUP("Shots",A1:CV300,14,FALSE)=0,0,HLOOKUP("SIB",A1:CV300,14,FALSE)/HLOOKUP("Shots",A1:CV300,14,FALSE))</f>
      </c>
      <c r="Q14" t="n" s="16319">
        <v>0.0</v>
      </c>
      <c r="R14" s="16320">
        <f>IF(HLOOKUP("Shots",A1:CV300,14,FALSE)=0,0,HLOOKUP("S6YD",A1:CV300,14,FALSE)/HLOOKUP("Shots",A1:CV300,14,FALSE))</f>
      </c>
      <c r="S14" t="n" s="16321">
        <v>0.0</v>
      </c>
      <c r="T14" s="16322">
        <f>IF(HLOOKUP("Shots",A1:CV300,14,FALSE)=0,0,HLOOKUP("Headers",A1:CV300,14,FALSE)/HLOOKUP("Shots",A1:CV300,14,FALSE))</f>
      </c>
      <c r="U14" t="n" s="16323">
        <v>0.0</v>
      </c>
      <c r="V14" s="16324">
        <f>IF(HLOOKUP("Shots",A1:CV300,14,FALSE)=0,0,HLOOKUP("SOT",A1:CV300,14,FALSE)/HLOOKUP("Shots",A1:CV300,14,FALSE))</f>
      </c>
      <c r="W14" s="16325">
        <f>IF(HLOOKUP("Shots",A1:CV300,14,FALSE)=0,0,HLOOKUP("Gs",A1:CV300,14,FALSE)/HLOOKUP("Shots",A1:CV300,14,FALSE))</f>
      </c>
      <c r="X14" t="n" s="16326">
        <v>0.0</v>
      </c>
      <c r="Y14" t="n" s="16327">
        <v>0.0</v>
      </c>
      <c r="Z14" t="n" s="16328">
        <v>0.0</v>
      </c>
      <c r="AA14" s="16329">
        <f>IF(HLOOKUP("KP",A1:CV300,14,FALSE)=0,0,HLOOKUP("As",A1:CV300,14,FALSE)/HLOOKUP("KP",A1:CV300,14,FALSE))</f>
      </c>
      <c r="AB14" s="16330"/>
      <c r="AC14" t="n" s="16331">
        <v>0.0</v>
      </c>
      <c r="AD14" t="n" s="16332">
        <v>0.0</v>
      </c>
      <c r="AE14" t="n" s="16333">
        <v>0.0</v>
      </c>
      <c r="AF14" t="n" s="16334">
        <v>0.0</v>
      </c>
      <c r="AG14" s="16335">
        <f>IF(HLOOKUP("BC",A1:CV300,14,FALSE)=0,0,HLOOKUP("Gs - BC",A1:CV300,14,FALSE)/HLOOKUP("BC",A1:CV300,14,FALSE))</f>
      </c>
      <c r="AH14" s="16336">
        <f>HLOOKUP("BC",A1:CV300,14,FALSE) - HLOOKUP("BC Miss",A1:CV300,14,FALSE)</f>
      </c>
      <c r="AI14" s="16337">
        <f>IF(HLOOKUP("Gs",A1:CV300,14,FALSE)=0,0,HLOOKUP("Gs - BC",A1:CV300,14,FALSE)/HLOOKUP("Gs",A1:CV300,14,FALSE))</f>
      </c>
      <c r="AJ14" t="n" s="16338">
        <v>0.0</v>
      </c>
      <c r="AK14" t="n" s="16339">
        <v>0.0</v>
      </c>
      <c r="AL14" s="16340">
        <f>HLOOKUP("BC",A1:CV300,14,FALSE) - (HLOOKUP("PK Gs",A1:CV300,14,FALSE) + HLOOKUP("PK Miss",A1:CV300,14,FALSE))</f>
      </c>
      <c r="AM14" s="16341">
        <f>HLOOKUP("BC Miss",A1:CV300,14,FALSE) - HLOOKUP("PK Miss",A1:CV300,14,FALSE)</f>
      </c>
      <c r="AN14" s="16342">
        <f>IF(HLOOKUP("BC - Open",A1:CV300,14,FALSE)=0,0,HLOOKUP("BC - Open Miss",A1:CV300,14,FALSE)/HLOOKUP("BC - Open",A1:CV300,14,FALSE))</f>
      </c>
      <c r="AO14" t="n" s="16343">
        <v>0.0</v>
      </c>
      <c r="AP14" s="16344">
        <f>IF(HLOOKUP("Gs",A1:CV300,14,FALSE)=0,0,HLOOKUP("GIB",A1:CV300,14,FALSE)/HLOOKUP("Gs",A1:CV300,14,FALSE))</f>
      </c>
      <c r="AQ14" t="n" s="16345">
        <v>0.0</v>
      </c>
      <c r="AR14" s="16346">
        <f>IF(HLOOKUP("Gs",A1:CV300,14,FALSE)=0,0,HLOOKUP("Gs - Open",A1:CV300,14,FALSE)/HLOOKUP("Gs",A1:CV300,14,FALSE))</f>
      </c>
      <c r="AS14" t="n" s="16347">
        <v>0.06</v>
      </c>
      <c r="AT14" t="n" s="16348">
        <v>0.14</v>
      </c>
      <c r="AU14" s="16349">
        <f>IF(HLOOKUP("Mins",A1:CV300,14,FALSE)=0,0,HLOOKUP("Pts",A1:CV300,14,FALSE)/HLOOKUP("Mins",A1:CV300,14,FALSE)* 90)</f>
      </c>
      <c r="AV14" s="16350">
        <f>IF(HLOOKUP("Apps",A1:CV300,14,FALSE)=0,0,HLOOKUP("Pts",A1:CV300,14,FALSE)/HLOOKUP("Apps",A1:CV300,14,FALSE)* 1)</f>
      </c>
      <c r="AW14" s="16351">
        <f>IF(HLOOKUP("Mins",A1:CV300,14,FALSE)=0,0,HLOOKUP("Gs",A1:CV300,14,FALSE)/HLOOKUP("Mins",A1:CV300,14,FALSE)* 90)</f>
      </c>
      <c r="AX14" s="16352">
        <f>IF(HLOOKUP("Mins",A1:CV300,14,FALSE)=0,0,HLOOKUP("Bonus",A1:CV300,14,FALSE)/HLOOKUP("Mins",A1:CV300,14,FALSE)* 90)</f>
      </c>
      <c r="AY14" s="16353">
        <f>IF(HLOOKUP("Mins",A1:CV300,14,FALSE)=0,0,HLOOKUP("BPS",A1:CV300,14,FALSE)/HLOOKUP("Mins",A1:CV300,14,FALSE)* 90)</f>
      </c>
      <c r="AZ14" s="16354">
        <f>IF(HLOOKUP("Mins",A1:CV300,14,FALSE)=0,0,HLOOKUP("Base BPS",A1:CV300,14,FALSE)/HLOOKUP("Mins",A1:CV300,14,FALSE)* 90)</f>
      </c>
      <c r="BA14" s="16355">
        <f>IF(HLOOKUP("Mins",A1:CV300,14,FALSE)=0,0,HLOOKUP("PenTchs",A1:CV300,14,FALSE)/HLOOKUP("Mins",A1:CV300,14,FALSE)* 90)</f>
      </c>
      <c r="BB14" s="16356">
        <f>IF(HLOOKUP("Mins",A1:CV300,14,FALSE)=0,0,HLOOKUP("Shots",A1:CV300,14,FALSE)/HLOOKUP("Mins",A1:CV300,14,FALSE)* 90)</f>
      </c>
      <c r="BC14" s="16357">
        <f>IF(HLOOKUP("Mins",A1:CV300,14,FALSE)=0,0,HLOOKUP("SIB",A1:CV300,14,FALSE)/HLOOKUP("Mins",A1:CV300,14,FALSE)* 90)</f>
      </c>
      <c r="BD14" s="16358">
        <f>IF(HLOOKUP("Mins",A1:CV300,14,FALSE)=0,0,HLOOKUP("S6YD",A1:CV300,14,FALSE)/HLOOKUP("Mins",A1:CV300,14,FALSE)* 90)</f>
      </c>
      <c r="BE14" s="16359">
        <f>IF(HLOOKUP("Mins",A1:CV300,14,FALSE)=0,0,HLOOKUP("Headers",A1:CV300,14,FALSE)/HLOOKUP("Mins",A1:CV300,14,FALSE)* 90)</f>
      </c>
      <c r="BF14" s="16360">
        <f>IF(HLOOKUP("Mins",A1:CV300,14,FALSE)=0,0,HLOOKUP("SOT",A1:CV300,14,FALSE)/HLOOKUP("Mins",A1:CV300,14,FALSE)* 90)</f>
      </c>
      <c r="BG14" s="16361">
        <f>IF(HLOOKUP("Mins",A1:CV300,14,FALSE)=0,0,HLOOKUP("As",A1:CV300,14,FALSE)/HLOOKUP("Mins",A1:CV300,14,FALSE)* 90)</f>
      </c>
      <c r="BH14" s="16362">
        <f>IF(HLOOKUP("Mins",A1:CV300,14,FALSE)=0,0,HLOOKUP("FPL As",A1:CV300,14,FALSE)/HLOOKUP("Mins",A1:CV300,14,FALSE)* 90)</f>
      </c>
      <c r="BI14" s="16363">
        <f>IF(HLOOKUP("Mins",A1:CV300,14,FALSE)=0,0,HLOOKUP("BC Created",A1:CV300,14,FALSE)/HLOOKUP("Mins",A1:CV300,14,FALSE)* 90)</f>
      </c>
      <c r="BJ14" s="16364">
        <f>IF(HLOOKUP("Mins",A1:CV300,14,FALSE)=0,0,HLOOKUP("KP",A1:CV300,14,FALSE)/HLOOKUP("Mins",A1:CV300,14,FALSE)* 90)</f>
      </c>
      <c r="BK14" s="16365">
        <f>IF(HLOOKUP("Mins",A1:CV300,14,FALSE)=0,0,HLOOKUP("BC",A1:CV300,14,FALSE)/HLOOKUP("Mins",A1:CV300,14,FALSE)* 90)</f>
      </c>
      <c r="BL14" s="16366">
        <f>IF(HLOOKUP("Mins",A1:CV300,14,FALSE)=0,0,HLOOKUP("BC Miss",A1:CV300,14,FALSE)/HLOOKUP("Mins",A1:CV300,14,FALSE)* 90)</f>
      </c>
      <c r="BM14" s="16367">
        <f>IF(HLOOKUP("Mins",A1:CV300,14,FALSE)=0,0,HLOOKUP("Gs - BC",A1:CV300,14,FALSE)/HLOOKUP("Mins",A1:CV300,14,FALSE)* 90)</f>
      </c>
      <c r="BN14" s="16368">
        <f>IF(HLOOKUP("Mins",A1:CV300,14,FALSE)=0,0,HLOOKUP("GIB",A1:CV300,14,FALSE)/HLOOKUP("Mins",A1:CV300,14,FALSE)* 90)</f>
      </c>
      <c r="BO14" s="16369">
        <f>IF(HLOOKUP("Mins",A1:CV300,14,FALSE)=0,0,HLOOKUP("Gs - Open",A1:CV300,14,FALSE)/HLOOKUP("Mins",A1:CV300,14,FALSE)* 90)</f>
      </c>
      <c r="BP14" s="16370">
        <f>IF(HLOOKUP("Mins",A1:CV300,14,FALSE)=0,0,HLOOKUP("ICT Index",A1:CV300,14,FALSE)/HLOOKUP("Mins",A1:CV300,14,FALSE)* 90)</f>
      </c>
      <c r="BQ14" s="16371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6372">
        <f>0.0885*HLOOKUP("KP/90",A1:CV300,14,FALSE)</f>
      </c>
      <c r="BS14" s="16373">
        <f>5*HLOOKUP("xG/90",A1:CV300,14,FALSE)+3*HLOOKUP("xA/90",A1:CV300,14,FALSE)</f>
      </c>
      <c r="BT14" s="16374">
        <f>HLOOKUP("xPts/90",A1:CV300,14,FALSE)-(5*0.75*(HLOOKUP("PK Gs",A1:CV300,14,FALSE)+HLOOKUP("PK Miss",A1:CV300,14,FALSE))*90/HLOOKUP("Mins",A1:CV300,14,FALSE))</f>
      </c>
      <c r="BU14" s="16375">
        <f>IF(HLOOKUP("Mins",A1:CV300,14,FALSE)=0,0,HLOOKUP("fsXG",A1:CV300,14,FALSE)/HLOOKUP("Mins",A1:CV300,14,FALSE)* 90)</f>
      </c>
      <c r="BV14" s="16376">
        <f>IF(HLOOKUP("Mins",A1:CV300,14,FALSE)=0,0,HLOOKUP("fsXA",A1:CV300,14,FALSE)/HLOOKUP("Mins",A1:CV300,14,FALSE)* 90)</f>
      </c>
      <c r="BW14" s="16377">
        <f>5*HLOOKUP("fsXG/90",A1:CV300,14,FALSE)+3*HLOOKUP("fsXA/90",A1:CV300,14,FALSE)</f>
      </c>
      <c r="BX14" t="n" s="16378">
        <v>0.020189696922898293</v>
      </c>
      <c r="BY14" t="n" s="16379">
        <v>0.0</v>
      </c>
      <c r="BZ14" s="16380">
        <f>5*HLOOKUP("uXG/90",A1:CV300,14,FALSE)+3*HLOOKUP("uXA/90",A1:CV300,14,FALSE)</f>
      </c>
    </row>
    <row r="15">
      <c r="A15" t="s" s="16381">
        <v>306</v>
      </c>
      <c r="B15" t="s" s="16382">
        <v>92</v>
      </c>
      <c r="C15" t="n" s="16383">
        <v>5.0</v>
      </c>
      <c r="D15" t="n" s="16384">
        <v>317.0</v>
      </c>
      <c r="E15" t="n" s="16385">
        <v>5.0</v>
      </c>
      <c r="F15" t="n" s="16386">
        <v>38.0</v>
      </c>
      <c r="G15" t="n" s="16387">
        <v>0.0</v>
      </c>
      <c r="H15" t="n" s="16388">
        <v>2.0</v>
      </c>
      <c r="I15" t="n" s="16389">
        <v>220.0</v>
      </c>
      <c r="J15" s="16390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6391">
        <v>0.0</v>
      </c>
      <c r="L15" t="n" s="16392">
        <v>5.0</v>
      </c>
      <c r="M15" t="n" s="16393">
        <v>4.0</v>
      </c>
      <c r="N15" t="n" s="16394">
        <v>2.0</v>
      </c>
      <c r="O15" t="n" s="16395">
        <v>0.0</v>
      </c>
      <c r="P15" s="16396">
        <f>IF(HLOOKUP("Shots",A1:CV300,15,FALSE)=0,0,HLOOKUP("SIB",A1:CV300,15,FALSE)/HLOOKUP("Shots",A1:CV300,15,FALSE))</f>
      </c>
      <c r="Q15" t="n" s="16397">
        <v>0.0</v>
      </c>
      <c r="R15" s="16398">
        <f>IF(HLOOKUP("Shots",A1:CV300,15,FALSE)=0,0,HLOOKUP("S6YD",A1:CV300,15,FALSE)/HLOOKUP("Shots",A1:CV300,15,FALSE))</f>
      </c>
      <c r="S15" t="n" s="16399">
        <v>0.0</v>
      </c>
      <c r="T15" s="16400">
        <f>IF(HLOOKUP("Shots",A1:CV300,15,FALSE)=0,0,HLOOKUP("Headers",A1:CV300,15,FALSE)/HLOOKUP("Shots",A1:CV300,15,FALSE))</f>
      </c>
      <c r="U15" t="n" s="16401">
        <v>0.0</v>
      </c>
      <c r="V15" s="16402">
        <f>IF(HLOOKUP("Shots",A1:CV300,15,FALSE)=0,0,HLOOKUP("SOT",A1:CV300,15,FALSE)/HLOOKUP("Shots",A1:CV300,15,FALSE))</f>
      </c>
      <c r="W15" s="16403">
        <f>IF(HLOOKUP("Shots",A1:CV300,15,FALSE)=0,0,HLOOKUP("Gs",A1:CV300,15,FALSE)/HLOOKUP("Shots",A1:CV300,15,FALSE))</f>
      </c>
      <c r="X15" t="n" s="16404">
        <v>0.0</v>
      </c>
      <c r="Y15" t="n" s="16405">
        <v>1.0</v>
      </c>
      <c r="Z15" t="n" s="16406">
        <v>1.0</v>
      </c>
      <c r="AA15" s="16407">
        <f>IF(HLOOKUP("KP",A1:CV300,15,FALSE)=0,0,HLOOKUP("As",A1:CV300,15,FALSE)/HLOOKUP("KP",A1:CV300,15,FALSE))</f>
      </c>
      <c r="AB15" s="16408"/>
      <c r="AC15" t="n" s="16409">
        <v>0.0</v>
      </c>
      <c r="AD15" t="n" s="16410">
        <v>0.0</v>
      </c>
      <c r="AE15" t="n" s="16411">
        <v>0.0</v>
      </c>
      <c r="AF15" t="n" s="16412">
        <v>0.0</v>
      </c>
      <c r="AG15" s="16413">
        <f>IF(HLOOKUP("BC",A1:CV300,15,FALSE)=0,0,HLOOKUP("Gs - BC",A1:CV300,15,FALSE)/HLOOKUP("BC",A1:CV300,15,FALSE))</f>
      </c>
      <c r="AH15" s="16414">
        <f>HLOOKUP("BC",A1:CV300,15,FALSE) - HLOOKUP("BC Miss",A1:CV300,15,FALSE)</f>
      </c>
      <c r="AI15" s="16415">
        <f>IF(HLOOKUP("Gs",A1:CV300,15,FALSE)=0,0,HLOOKUP("Gs - BC",A1:CV300,15,FALSE)/HLOOKUP("Gs",A1:CV300,15,FALSE))</f>
      </c>
      <c r="AJ15" t="n" s="16416">
        <v>0.0</v>
      </c>
      <c r="AK15" t="n" s="16417">
        <v>0.0</v>
      </c>
      <c r="AL15" s="16418">
        <f>HLOOKUP("BC",A1:CV300,15,FALSE) - (HLOOKUP("PK Gs",A1:CV300,15,FALSE) + HLOOKUP("PK Miss",A1:CV300,15,FALSE))</f>
      </c>
      <c r="AM15" s="16419">
        <f>HLOOKUP("BC Miss",A1:CV300,15,FALSE) - HLOOKUP("PK Miss",A1:CV300,15,FALSE)</f>
      </c>
      <c r="AN15" s="16420">
        <f>IF(HLOOKUP("BC - Open",A1:CV300,15,FALSE)=0,0,HLOOKUP("BC - Open Miss",A1:CV300,15,FALSE)/HLOOKUP("BC - Open",A1:CV300,15,FALSE))</f>
      </c>
      <c r="AO15" t="n" s="16421">
        <v>0.0</v>
      </c>
      <c r="AP15" s="16422">
        <f>IF(HLOOKUP("Gs",A1:CV300,15,FALSE)=0,0,HLOOKUP("GIB",A1:CV300,15,FALSE)/HLOOKUP("Gs",A1:CV300,15,FALSE))</f>
      </c>
      <c r="AQ15" t="n" s="16423">
        <v>0.0</v>
      </c>
      <c r="AR15" s="16424">
        <f>IF(HLOOKUP("Gs",A1:CV300,15,FALSE)=0,0,HLOOKUP("Gs - Open",A1:CV300,15,FALSE)/HLOOKUP("Gs",A1:CV300,15,FALSE))</f>
      </c>
      <c r="AS15" t="n" s="16425">
        <v>0.07</v>
      </c>
      <c r="AT15" t="n" s="16426">
        <v>0.13</v>
      </c>
      <c r="AU15" s="16427">
        <f>IF(HLOOKUP("Mins",A1:CV300,15,FALSE)=0,0,HLOOKUP("Pts",A1:CV300,15,FALSE)/HLOOKUP("Mins",A1:CV300,15,FALSE)* 90)</f>
      </c>
      <c r="AV15" s="16428">
        <f>IF(HLOOKUP("Apps",A1:CV300,15,FALSE)=0,0,HLOOKUP("Pts",A1:CV300,15,FALSE)/HLOOKUP("Apps",A1:CV300,15,FALSE)* 1)</f>
      </c>
      <c r="AW15" s="16429">
        <f>IF(HLOOKUP("Mins",A1:CV300,15,FALSE)=0,0,HLOOKUP("Gs",A1:CV300,15,FALSE)/HLOOKUP("Mins",A1:CV300,15,FALSE)* 90)</f>
      </c>
      <c r="AX15" s="16430">
        <f>IF(HLOOKUP("Mins",A1:CV300,15,FALSE)=0,0,HLOOKUP("Bonus",A1:CV300,15,FALSE)/HLOOKUP("Mins",A1:CV300,15,FALSE)* 90)</f>
      </c>
      <c r="AY15" s="16431">
        <f>IF(HLOOKUP("Mins",A1:CV300,15,FALSE)=0,0,HLOOKUP("BPS",A1:CV300,15,FALSE)/HLOOKUP("Mins",A1:CV300,15,FALSE)* 90)</f>
      </c>
      <c r="AZ15" s="16432">
        <f>IF(HLOOKUP("Mins",A1:CV300,15,FALSE)=0,0,HLOOKUP("Base BPS",A1:CV300,15,FALSE)/HLOOKUP("Mins",A1:CV300,15,FALSE)* 90)</f>
      </c>
      <c r="BA15" s="16433">
        <f>IF(HLOOKUP("Mins",A1:CV300,15,FALSE)=0,0,HLOOKUP("PenTchs",A1:CV300,15,FALSE)/HLOOKUP("Mins",A1:CV300,15,FALSE)* 90)</f>
      </c>
      <c r="BB15" s="16434">
        <f>IF(HLOOKUP("Mins",A1:CV300,15,FALSE)=0,0,HLOOKUP("Shots",A1:CV300,15,FALSE)/HLOOKUP("Mins",A1:CV300,15,FALSE)* 90)</f>
      </c>
      <c r="BC15" s="16435">
        <f>IF(HLOOKUP("Mins",A1:CV300,15,FALSE)=0,0,HLOOKUP("SIB",A1:CV300,15,FALSE)/HLOOKUP("Mins",A1:CV300,15,FALSE)* 90)</f>
      </c>
      <c r="BD15" s="16436">
        <f>IF(HLOOKUP("Mins",A1:CV300,15,FALSE)=0,0,HLOOKUP("S6YD",A1:CV300,15,FALSE)/HLOOKUP("Mins",A1:CV300,15,FALSE)* 90)</f>
      </c>
      <c r="BE15" s="16437">
        <f>IF(HLOOKUP("Mins",A1:CV300,15,FALSE)=0,0,HLOOKUP("Headers",A1:CV300,15,FALSE)/HLOOKUP("Mins",A1:CV300,15,FALSE)* 90)</f>
      </c>
      <c r="BF15" s="16438">
        <f>IF(HLOOKUP("Mins",A1:CV300,15,FALSE)=0,0,HLOOKUP("SOT",A1:CV300,15,FALSE)/HLOOKUP("Mins",A1:CV300,15,FALSE)* 90)</f>
      </c>
      <c r="BG15" s="16439">
        <f>IF(HLOOKUP("Mins",A1:CV300,15,FALSE)=0,0,HLOOKUP("As",A1:CV300,15,FALSE)/HLOOKUP("Mins",A1:CV300,15,FALSE)* 90)</f>
      </c>
      <c r="BH15" s="16440">
        <f>IF(HLOOKUP("Mins",A1:CV300,15,FALSE)=0,0,HLOOKUP("FPL As",A1:CV300,15,FALSE)/HLOOKUP("Mins",A1:CV300,15,FALSE)* 90)</f>
      </c>
      <c r="BI15" s="16441">
        <f>IF(HLOOKUP("Mins",A1:CV300,15,FALSE)=0,0,HLOOKUP("BC Created",A1:CV300,15,FALSE)/HLOOKUP("Mins",A1:CV300,15,FALSE)* 90)</f>
      </c>
      <c r="BJ15" s="16442">
        <f>IF(HLOOKUP("Mins",A1:CV300,15,FALSE)=0,0,HLOOKUP("KP",A1:CV300,15,FALSE)/HLOOKUP("Mins",A1:CV300,15,FALSE)* 90)</f>
      </c>
      <c r="BK15" s="16443">
        <f>IF(HLOOKUP("Mins",A1:CV300,15,FALSE)=0,0,HLOOKUP("BC",A1:CV300,15,FALSE)/HLOOKUP("Mins",A1:CV300,15,FALSE)* 90)</f>
      </c>
      <c r="BL15" s="16444">
        <f>IF(HLOOKUP("Mins",A1:CV300,15,FALSE)=0,0,HLOOKUP("BC Miss",A1:CV300,15,FALSE)/HLOOKUP("Mins",A1:CV300,15,FALSE)* 90)</f>
      </c>
      <c r="BM15" s="16445">
        <f>IF(HLOOKUP("Mins",A1:CV300,15,FALSE)=0,0,HLOOKUP("Gs - BC",A1:CV300,15,FALSE)/HLOOKUP("Mins",A1:CV300,15,FALSE)* 90)</f>
      </c>
      <c r="BN15" s="16446">
        <f>IF(HLOOKUP("Mins",A1:CV300,15,FALSE)=0,0,HLOOKUP("GIB",A1:CV300,15,FALSE)/HLOOKUP("Mins",A1:CV300,15,FALSE)* 90)</f>
      </c>
      <c r="BO15" s="16447">
        <f>IF(HLOOKUP("Mins",A1:CV300,15,FALSE)=0,0,HLOOKUP("Gs - Open",A1:CV300,15,FALSE)/HLOOKUP("Mins",A1:CV300,15,FALSE)* 90)</f>
      </c>
      <c r="BP15" s="16448">
        <f>IF(HLOOKUP("Mins",A1:CV300,15,FALSE)=0,0,HLOOKUP("ICT Index",A1:CV300,15,FALSE)/HLOOKUP("Mins",A1:CV300,15,FALSE)* 90)</f>
      </c>
      <c r="BQ15" s="16449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16450">
        <f>0.0885*HLOOKUP("KP/90",A1:CV300,15,FALSE)</f>
      </c>
      <c r="BS15" s="16451">
        <f>5*HLOOKUP("xG/90",A1:CV300,15,FALSE)+3*HLOOKUP("xA/90",A1:CV300,15,FALSE)</f>
      </c>
      <c r="BT15" s="16452">
        <f>HLOOKUP("xPts/90",A1:CV300,15,FALSE)-(5*0.75*(HLOOKUP("PK Gs",A1:CV300,15,FALSE)+HLOOKUP("PK Miss",A1:CV300,15,FALSE))*90/HLOOKUP("Mins",A1:CV300,15,FALSE))</f>
      </c>
      <c r="BU15" s="16453">
        <f>IF(HLOOKUP("Mins",A1:CV300,15,FALSE)=0,0,HLOOKUP("fsXG",A1:CV300,15,FALSE)/HLOOKUP("Mins",A1:CV300,15,FALSE)* 90)</f>
      </c>
      <c r="BV15" s="16454">
        <f>IF(HLOOKUP("Mins",A1:CV300,15,FALSE)=0,0,HLOOKUP("fsXA",A1:CV300,15,FALSE)/HLOOKUP("Mins",A1:CV300,15,FALSE)* 90)</f>
      </c>
      <c r="BW15" s="16455">
        <f>5*HLOOKUP("fsXG/90",A1:CV300,15,FALSE)+3*HLOOKUP("fsXA/90",A1:CV300,15,FALSE)</f>
      </c>
      <c r="BX15" t="n" s="16456">
        <v>0.01239589974284172</v>
      </c>
      <c r="BY15" t="n" s="16457">
        <v>0.0033661003690212965</v>
      </c>
      <c r="BZ15" s="16458">
        <f>5*HLOOKUP("uXG/90",A1:CV300,15,FALSE)+3*HLOOKUP("uXA/90",A1:CV300,15,FALSE)</f>
      </c>
    </row>
    <row r="16">
      <c r="A16" t="s" s="16459">
        <v>307</v>
      </c>
      <c r="B16" t="s" s="16460">
        <v>82</v>
      </c>
      <c r="C16" t="n" s="16461">
        <v>6.099999904632568</v>
      </c>
      <c r="D16" t="n" s="16462">
        <v>307.0</v>
      </c>
      <c r="E16" t="n" s="16463">
        <v>5.0</v>
      </c>
      <c r="F16" t="n" s="16464">
        <v>85.0</v>
      </c>
      <c r="G16" t="n" s="16465">
        <v>1.0</v>
      </c>
      <c r="H16" t="n" s="16466">
        <v>6.0</v>
      </c>
      <c r="I16" t="n" s="16467">
        <v>243.0</v>
      </c>
      <c r="J16" s="16468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16469">
        <v>0.0</v>
      </c>
      <c r="L16" t="n" s="16470">
        <v>6.0</v>
      </c>
      <c r="M16" t="n" s="16471">
        <v>14.0</v>
      </c>
      <c r="N16" t="n" s="16472">
        <v>4.0</v>
      </c>
      <c r="O16" t="n" s="16473">
        <v>3.0</v>
      </c>
      <c r="P16" s="16474">
        <f>IF(HLOOKUP("Shots",A1:CV300,16,FALSE)=0,0,HLOOKUP("SIB",A1:CV300,16,FALSE)/HLOOKUP("Shots",A1:CV300,16,FALSE))</f>
      </c>
      <c r="Q16" t="n" s="16475">
        <v>1.0</v>
      </c>
      <c r="R16" s="16476">
        <f>IF(HLOOKUP("Shots",A1:CV300,16,FALSE)=0,0,HLOOKUP("S6YD",A1:CV300,16,FALSE)/HLOOKUP("Shots",A1:CV300,16,FALSE))</f>
      </c>
      <c r="S16" t="n" s="16477">
        <v>0.0</v>
      </c>
      <c r="T16" s="16478">
        <f>IF(HLOOKUP("Shots",A1:CV300,16,FALSE)=0,0,HLOOKUP("Headers",A1:CV300,16,FALSE)/HLOOKUP("Shots",A1:CV300,16,FALSE))</f>
      </c>
      <c r="U16" t="n" s="16479">
        <v>3.0</v>
      </c>
      <c r="V16" s="16480">
        <f>IF(HLOOKUP("Shots",A1:CV300,16,FALSE)=0,0,HLOOKUP("SOT",A1:CV300,16,FALSE)/HLOOKUP("Shots",A1:CV300,16,FALSE))</f>
      </c>
      <c r="W16" s="16481">
        <f>IF(HLOOKUP("Shots",A1:CV300,16,FALSE)=0,0,HLOOKUP("Gs",A1:CV300,16,FALSE)/HLOOKUP("Shots",A1:CV300,16,FALSE))</f>
      </c>
      <c r="X16" t="n" s="16482">
        <v>3.0</v>
      </c>
      <c r="Y16" t="n" s="16483">
        <v>5.0</v>
      </c>
      <c r="Z16" t="n" s="16484">
        <v>8.0</v>
      </c>
      <c r="AA16" s="16485">
        <f>IF(HLOOKUP("KP",A1:CV300,16,FALSE)=0,0,HLOOKUP("As",A1:CV300,16,FALSE)/HLOOKUP("KP",A1:CV300,16,FALSE))</f>
      </c>
      <c r="AB16" s="16486"/>
      <c r="AC16" t="n" s="16487">
        <v>57.0</v>
      </c>
      <c r="AD16" t="n" s="16488">
        <v>4.0</v>
      </c>
      <c r="AE16" t="n" s="16489">
        <v>2.0</v>
      </c>
      <c r="AF16" t="n" s="16490">
        <v>1.0</v>
      </c>
      <c r="AG16" s="16491">
        <f>IF(HLOOKUP("BC",A1:CV300,16,FALSE)=0,0,HLOOKUP("Gs - BC",A1:CV300,16,FALSE)/HLOOKUP("BC",A1:CV300,16,FALSE))</f>
      </c>
      <c r="AH16" s="16492">
        <f>HLOOKUP("BC",A1:CV300,16,FALSE) - HLOOKUP("BC Miss",A1:CV300,16,FALSE)</f>
      </c>
      <c r="AI16" s="16493">
        <f>IF(HLOOKUP("Gs",A1:CV300,16,FALSE)=0,0,HLOOKUP("Gs - BC",A1:CV300,16,FALSE)/HLOOKUP("Gs",A1:CV300,16,FALSE))</f>
      </c>
      <c r="AJ16" t="n" s="16494">
        <v>0.0</v>
      </c>
      <c r="AK16" t="n" s="16495">
        <v>0.0</v>
      </c>
      <c r="AL16" s="16496">
        <f>HLOOKUP("BC",A1:CV300,16,FALSE) - (HLOOKUP("PK Gs",A1:CV300,16,FALSE) + HLOOKUP("PK Miss",A1:CV300,16,FALSE))</f>
      </c>
      <c r="AM16" s="16497">
        <f>HLOOKUP("BC Miss",A1:CV300,16,FALSE) - HLOOKUP("PK Miss",A1:CV300,16,FALSE)</f>
      </c>
      <c r="AN16" s="16498">
        <f>IF(HLOOKUP("BC - Open",A1:CV300,16,FALSE)=0,0,HLOOKUP("BC - Open Miss",A1:CV300,16,FALSE)/HLOOKUP("BC - Open",A1:CV300,16,FALSE))</f>
      </c>
      <c r="AO16" t="n" s="16499">
        <v>1.0</v>
      </c>
      <c r="AP16" s="16500">
        <f>IF(HLOOKUP("Gs",A1:CV300,16,FALSE)=0,0,HLOOKUP("GIB",A1:CV300,16,FALSE)/HLOOKUP("Gs",A1:CV300,16,FALSE))</f>
      </c>
      <c r="AQ16" t="n" s="16501">
        <v>1.0</v>
      </c>
      <c r="AR16" s="16502">
        <f>IF(HLOOKUP("Gs",A1:CV300,16,FALSE)=0,0,HLOOKUP("Gs - Open",A1:CV300,16,FALSE)/HLOOKUP("Gs",A1:CV300,16,FALSE))</f>
      </c>
      <c r="AS16" t="n" s="16503">
        <v>1.13</v>
      </c>
      <c r="AT16" t="n" s="16504">
        <v>0.86</v>
      </c>
      <c r="AU16" s="16505">
        <f>IF(HLOOKUP("Mins",A1:CV300,16,FALSE)=0,0,HLOOKUP("Pts",A1:CV300,16,FALSE)/HLOOKUP("Mins",A1:CV300,16,FALSE)* 90)</f>
      </c>
      <c r="AV16" s="16506">
        <f>IF(HLOOKUP("Apps",A1:CV300,16,FALSE)=0,0,HLOOKUP("Pts",A1:CV300,16,FALSE)/HLOOKUP("Apps",A1:CV300,16,FALSE)* 1)</f>
      </c>
      <c r="AW16" s="16507">
        <f>IF(HLOOKUP("Mins",A1:CV300,16,FALSE)=0,0,HLOOKUP("Gs",A1:CV300,16,FALSE)/HLOOKUP("Mins",A1:CV300,16,FALSE)* 90)</f>
      </c>
      <c r="AX16" s="16508">
        <f>IF(HLOOKUP("Mins",A1:CV300,16,FALSE)=0,0,HLOOKUP("Bonus",A1:CV300,16,FALSE)/HLOOKUP("Mins",A1:CV300,16,FALSE)* 90)</f>
      </c>
      <c r="AY16" s="16509">
        <f>IF(HLOOKUP("Mins",A1:CV300,16,FALSE)=0,0,HLOOKUP("BPS",A1:CV300,16,FALSE)/HLOOKUP("Mins",A1:CV300,16,FALSE)* 90)</f>
      </c>
      <c r="AZ16" s="16510">
        <f>IF(HLOOKUP("Mins",A1:CV300,16,FALSE)=0,0,HLOOKUP("Base BPS",A1:CV300,16,FALSE)/HLOOKUP("Mins",A1:CV300,16,FALSE)* 90)</f>
      </c>
      <c r="BA16" s="16511">
        <f>IF(HLOOKUP("Mins",A1:CV300,16,FALSE)=0,0,HLOOKUP("PenTchs",A1:CV300,16,FALSE)/HLOOKUP("Mins",A1:CV300,16,FALSE)* 90)</f>
      </c>
      <c r="BB16" s="16512">
        <f>IF(HLOOKUP("Mins",A1:CV300,16,FALSE)=0,0,HLOOKUP("Shots",A1:CV300,16,FALSE)/HLOOKUP("Mins",A1:CV300,16,FALSE)* 90)</f>
      </c>
      <c r="BC16" s="16513">
        <f>IF(HLOOKUP("Mins",A1:CV300,16,FALSE)=0,0,HLOOKUP("SIB",A1:CV300,16,FALSE)/HLOOKUP("Mins",A1:CV300,16,FALSE)* 90)</f>
      </c>
      <c r="BD16" s="16514">
        <f>IF(HLOOKUP("Mins",A1:CV300,16,FALSE)=0,0,HLOOKUP("S6YD",A1:CV300,16,FALSE)/HLOOKUP("Mins",A1:CV300,16,FALSE)* 90)</f>
      </c>
      <c r="BE16" s="16515">
        <f>IF(HLOOKUP("Mins",A1:CV300,16,FALSE)=0,0,HLOOKUP("Headers",A1:CV300,16,FALSE)/HLOOKUP("Mins",A1:CV300,16,FALSE)* 90)</f>
      </c>
      <c r="BF16" s="16516">
        <f>IF(HLOOKUP("Mins",A1:CV300,16,FALSE)=0,0,HLOOKUP("SOT",A1:CV300,16,FALSE)/HLOOKUP("Mins",A1:CV300,16,FALSE)* 90)</f>
      </c>
      <c r="BG16" s="16517">
        <f>IF(HLOOKUP("Mins",A1:CV300,16,FALSE)=0,0,HLOOKUP("As",A1:CV300,16,FALSE)/HLOOKUP("Mins",A1:CV300,16,FALSE)* 90)</f>
      </c>
      <c r="BH16" s="16518">
        <f>IF(HLOOKUP("Mins",A1:CV300,16,FALSE)=0,0,HLOOKUP("FPL As",A1:CV300,16,FALSE)/HLOOKUP("Mins",A1:CV300,16,FALSE)* 90)</f>
      </c>
      <c r="BI16" s="16519">
        <f>IF(HLOOKUP("Mins",A1:CV300,16,FALSE)=0,0,HLOOKUP("BC Created",A1:CV300,16,FALSE)/HLOOKUP("Mins",A1:CV300,16,FALSE)* 90)</f>
      </c>
      <c r="BJ16" s="16520">
        <f>IF(HLOOKUP("Mins",A1:CV300,16,FALSE)=0,0,HLOOKUP("KP",A1:CV300,16,FALSE)/HLOOKUP("Mins",A1:CV300,16,FALSE)* 90)</f>
      </c>
      <c r="BK16" s="16521">
        <f>IF(HLOOKUP("Mins",A1:CV300,16,FALSE)=0,0,HLOOKUP("BC",A1:CV300,16,FALSE)/HLOOKUP("Mins",A1:CV300,16,FALSE)* 90)</f>
      </c>
      <c r="BL16" s="16522">
        <f>IF(HLOOKUP("Mins",A1:CV300,16,FALSE)=0,0,HLOOKUP("BC Miss",A1:CV300,16,FALSE)/HLOOKUP("Mins",A1:CV300,16,FALSE)* 90)</f>
      </c>
      <c r="BM16" s="16523">
        <f>IF(HLOOKUP("Mins",A1:CV300,16,FALSE)=0,0,HLOOKUP("Gs - BC",A1:CV300,16,FALSE)/HLOOKUP("Mins",A1:CV300,16,FALSE)* 90)</f>
      </c>
      <c r="BN16" s="16524">
        <f>IF(HLOOKUP("Mins",A1:CV300,16,FALSE)=0,0,HLOOKUP("GIB",A1:CV300,16,FALSE)/HLOOKUP("Mins",A1:CV300,16,FALSE)* 90)</f>
      </c>
      <c r="BO16" s="16525">
        <f>IF(HLOOKUP("Mins",A1:CV300,16,FALSE)=0,0,HLOOKUP("Gs - Open",A1:CV300,16,FALSE)/HLOOKUP("Mins",A1:CV300,16,FALSE)* 90)</f>
      </c>
      <c r="BP16" s="16526">
        <f>IF(HLOOKUP("Mins",A1:CV300,16,FALSE)=0,0,HLOOKUP("ICT Index",A1:CV300,16,FALSE)/HLOOKUP("Mins",A1:CV300,16,FALSE)* 90)</f>
      </c>
      <c r="BQ16" s="16527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16528">
        <f>0.0885*HLOOKUP("KP/90",A1:CV300,16,FALSE)</f>
      </c>
      <c r="BS16" s="16529">
        <f>5*HLOOKUP("xG/90",A1:CV300,16,FALSE)+3*HLOOKUP("xA/90",A1:CV300,16,FALSE)</f>
      </c>
      <c r="BT16" s="16530">
        <f>HLOOKUP("xPts/90",A1:CV300,16,FALSE)-(5*0.75*(HLOOKUP("PK Gs",A1:CV300,16,FALSE)+HLOOKUP("PK Miss",A1:CV300,16,FALSE))*90/HLOOKUP("Mins",A1:CV300,16,FALSE))</f>
      </c>
      <c r="BU16" s="16531">
        <f>IF(HLOOKUP("Mins",A1:CV300,16,FALSE)=0,0,HLOOKUP("fsXG",A1:CV300,16,FALSE)/HLOOKUP("Mins",A1:CV300,16,FALSE)* 90)</f>
      </c>
      <c r="BV16" s="16532">
        <f>IF(HLOOKUP("Mins",A1:CV300,16,FALSE)=0,0,HLOOKUP("fsXA",A1:CV300,16,FALSE)/HLOOKUP("Mins",A1:CV300,16,FALSE)* 90)</f>
      </c>
      <c r="BW16" s="16533">
        <f>5*HLOOKUP("fsXG/90",A1:CV300,16,FALSE)+3*HLOOKUP("fsXA/90",A1:CV300,16,FALSE)</f>
      </c>
      <c r="BX16" t="n" s="16534">
        <v>0.3566024899482727</v>
      </c>
      <c r="BY16" t="n" s="16535">
        <v>0.4190991520881653</v>
      </c>
      <c r="BZ16" s="16536">
        <f>5*HLOOKUP("uXG/90",A1:CV300,16,FALSE)+3*HLOOKUP("uXA/90",A1:CV300,16,FALSE)</f>
      </c>
    </row>
    <row r="17">
      <c r="A17" t="s" s="16537">
        <v>308</v>
      </c>
      <c r="B17" t="s" s="16538">
        <v>127</v>
      </c>
      <c r="C17" t="n" s="16539">
        <v>4.5</v>
      </c>
      <c r="D17" t="n" s="16540">
        <v>1.0</v>
      </c>
      <c r="E17" t="n" s="16541">
        <v>1.0</v>
      </c>
      <c r="F17" t="n" s="16542">
        <v>1.0</v>
      </c>
      <c r="G17" t="n" s="16543">
        <v>0.0</v>
      </c>
      <c r="H17" t="n" s="16544">
        <v>0.0</v>
      </c>
      <c r="I17" t="n" s="16545">
        <v>3.0</v>
      </c>
      <c r="J17" s="16546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16547">
        <v>0.0</v>
      </c>
      <c r="L17" t="n" s="16548">
        <v>0.0</v>
      </c>
      <c r="M17" t="n" s="16549">
        <v>0.0</v>
      </c>
      <c r="N17" t="n" s="16550">
        <v>0.0</v>
      </c>
      <c r="O17" t="n" s="16551">
        <v>0.0</v>
      </c>
      <c r="P17" s="16552">
        <f>IF(HLOOKUP("Shots",A1:CV300,17,FALSE)=0,0,HLOOKUP("SIB",A1:CV300,17,FALSE)/HLOOKUP("Shots",A1:CV300,17,FALSE))</f>
      </c>
      <c r="Q17" t="n" s="16553">
        <v>0.0</v>
      </c>
      <c r="R17" s="16554">
        <f>IF(HLOOKUP("Shots",A1:CV300,17,FALSE)=0,0,HLOOKUP("S6YD",A1:CV300,17,FALSE)/HLOOKUP("Shots",A1:CV300,17,FALSE))</f>
      </c>
      <c r="S17" t="n" s="16555">
        <v>0.0</v>
      </c>
      <c r="T17" s="16556">
        <f>IF(HLOOKUP("Shots",A1:CV300,17,FALSE)=0,0,HLOOKUP("Headers",A1:CV300,17,FALSE)/HLOOKUP("Shots",A1:CV300,17,FALSE))</f>
      </c>
      <c r="U17" t="n" s="16557">
        <v>0.0</v>
      </c>
      <c r="V17" s="16558">
        <f>IF(HLOOKUP("Shots",A1:CV300,17,FALSE)=0,0,HLOOKUP("SOT",A1:CV300,17,FALSE)/HLOOKUP("Shots",A1:CV300,17,FALSE))</f>
      </c>
      <c r="W17" s="16559">
        <f>IF(HLOOKUP("Shots",A1:CV300,17,FALSE)=0,0,HLOOKUP("Gs",A1:CV300,17,FALSE)/HLOOKUP("Shots",A1:CV300,17,FALSE))</f>
      </c>
      <c r="X17" t="n" s="16560">
        <v>0.0</v>
      </c>
      <c r="Y17" t="n" s="16561">
        <v>0.0</v>
      </c>
      <c r="Z17" t="n" s="16562">
        <v>0.0</v>
      </c>
      <c r="AA17" s="16563">
        <f>IF(HLOOKUP("KP",A1:CV300,17,FALSE)=0,0,HLOOKUP("As",A1:CV300,17,FALSE)/HLOOKUP("KP",A1:CV300,17,FALSE))</f>
      </c>
      <c r="AB17" s="16564"/>
      <c r="AC17" t="n" s="16565">
        <v>0.0</v>
      </c>
      <c r="AD17" t="n" s="16566">
        <v>0.0</v>
      </c>
      <c r="AE17" t="n" s="16567">
        <v>0.0</v>
      </c>
      <c r="AF17" t="n" s="16568">
        <v>0.0</v>
      </c>
      <c r="AG17" s="16569">
        <f>IF(HLOOKUP("BC",A1:CV300,17,FALSE)=0,0,HLOOKUP("Gs - BC",A1:CV300,17,FALSE)/HLOOKUP("BC",A1:CV300,17,FALSE))</f>
      </c>
      <c r="AH17" s="16570">
        <f>HLOOKUP("BC",A1:CV300,17,FALSE) - HLOOKUP("BC Miss",A1:CV300,17,FALSE)</f>
      </c>
      <c r="AI17" s="16571">
        <f>IF(HLOOKUP("Gs",A1:CV300,17,FALSE)=0,0,HLOOKUP("Gs - BC",A1:CV300,17,FALSE)/HLOOKUP("Gs",A1:CV300,17,FALSE))</f>
      </c>
      <c r="AJ17" t="n" s="16572">
        <v>0.0</v>
      </c>
      <c r="AK17" t="n" s="16573">
        <v>0.0</v>
      </c>
      <c r="AL17" s="16574">
        <f>HLOOKUP("BC",A1:CV300,17,FALSE) - (HLOOKUP("PK Gs",A1:CV300,17,FALSE) + HLOOKUP("PK Miss",A1:CV300,17,FALSE))</f>
      </c>
      <c r="AM17" s="16575">
        <f>HLOOKUP("BC Miss",A1:CV300,17,FALSE) - HLOOKUP("PK Miss",A1:CV300,17,FALSE)</f>
      </c>
      <c r="AN17" s="16576">
        <f>IF(HLOOKUP("BC - Open",A1:CV300,17,FALSE)=0,0,HLOOKUP("BC - Open Miss",A1:CV300,17,FALSE)/HLOOKUP("BC - Open",A1:CV300,17,FALSE))</f>
      </c>
      <c r="AO17" t="n" s="16577">
        <v>0.0</v>
      </c>
      <c r="AP17" s="16578">
        <f>IF(HLOOKUP("Gs",A1:CV300,17,FALSE)=0,0,HLOOKUP("GIB",A1:CV300,17,FALSE)/HLOOKUP("Gs",A1:CV300,17,FALSE))</f>
      </c>
      <c r="AQ17" t="n" s="16579">
        <v>0.0</v>
      </c>
      <c r="AR17" s="16580">
        <f>IF(HLOOKUP("Gs",A1:CV300,17,FALSE)=0,0,HLOOKUP("Gs - Open",A1:CV300,17,FALSE)/HLOOKUP("Gs",A1:CV300,17,FALSE))</f>
      </c>
      <c r="AS17" t="n" s="16581">
        <v>0.0</v>
      </c>
      <c r="AT17" t="n" s="16582">
        <v>0.0</v>
      </c>
      <c r="AU17" s="16583">
        <f>IF(HLOOKUP("Mins",A1:CV300,17,FALSE)=0,0,HLOOKUP("Pts",A1:CV300,17,FALSE)/HLOOKUP("Mins",A1:CV300,17,FALSE)* 90)</f>
      </c>
      <c r="AV17" s="16584">
        <f>IF(HLOOKUP("Apps",A1:CV300,17,FALSE)=0,0,HLOOKUP("Pts",A1:CV300,17,FALSE)/HLOOKUP("Apps",A1:CV300,17,FALSE)* 1)</f>
      </c>
      <c r="AW17" s="16585">
        <f>IF(HLOOKUP("Mins",A1:CV300,17,FALSE)=0,0,HLOOKUP("Gs",A1:CV300,17,FALSE)/HLOOKUP("Mins",A1:CV300,17,FALSE)* 90)</f>
      </c>
      <c r="AX17" s="16586">
        <f>IF(HLOOKUP("Mins",A1:CV300,17,FALSE)=0,0,HLOOKUP("Bonus",A1:CV300,17,FALSE)/HLOOKUP("Mins",A1:CV300,17,FALSE)* 90)</f>
      </c>
      <c r="AY17" s="16587">
        <f>IF(HLOOKUP("Mins",A1:CV300,17,FALSE)=0,0,HLOOKUP("BPS",A1:CV300,17,FALSE)/HLOOKUP("Mins",A1:CV300,17,FALSE)* 90)</f>
      </c>
      <c r="AZ17" s="16588">
        <f>IF(HLOOKUP("Mins",A1:CV300,17,FALSE)=0,0,HLOOKUP("Base BPS",A1:CV300,17,FALSE)/HLOOKUP("Mins",A1:CV300,17,FALSE)* 90)</f>
      </c>
      <c r="BA17" s="16589">
        <f>IF(HLOOKUP("Mins",A1:CV300,17,FALSE)=0,0,HLOOKUP("PenTchs",A1:CV300,17,FALSE)/HLOOKUP("Mins",A1:CV300,17,FALSE)* 90)</f>
      </c>
      <c r="BB17" s="16590">
        <f>IF(HLOOKUP("Mins",A1:CV300,17,FALSE)=0,0,HLOOKUP("Shots",A1:CV300,17,FALSE)/HLOOKUP("Mins",A1:CV300,17,FALSE)* 90)</f>
      </c>
      <c r="BC17" s="16591">
        <f>IF(HLOOKUP("Mins",A1:CV300,17,FALSE)=0,0,HLOOKUP("SIB",A1:CV300,17,FALSE)/HLOOKUP("Mins",A1:CV300,17,FALSE)* 90)</f>
      </c>
      <c r="BD17" s="16592">
        <f>IF(HLOOKUP("Mins",A1:CV300,17,FALSE)=0,0,HLOOKUP("S6YD",A1:CV300,17,FALSE)/HLOOKUP("Mins",A1:CV300,17,FALSE)* 90)</f>
      </c>
      <c r="BE17" s="16593">
        <f>IF(HLOOKUP("Mins",A1:CV300,17,FALSE)=0,0,HLOOKUP("Headers",A1:CV300,17,FALSE)/HLOOKUP("Mins",A1:CV300,17,FALSE)* 90)</f>
      </c>
      <c r="BF17" s="16594">
        <f>IF(HLOOKUP("Mins",A1:CV300,17,FALSE)=0,0,HLOOKUP("SOT",A1:CV300,17,FALSE)/HLOOKUP("Mins",A1:CV300,17,FALSE)* 90)</f>
      </c>
      <c r="BG17" s="16595">
        <f>IF(HLOOKUP("Mins",A1:CV300,17,FALSE)=0,0,HLOOKUP("As",A1:CV300,17,FALSE)/HLOOKUP("Mins",A1:CV300,17,FALSE)* 90)</f>
      </c>
      <c r="BH17" s="16596">
        <f>IF(HLOOKUP("Mins",A1:CV300,17,FALSE)=0,0,HLOOKUP("FPL As",A1:CV300,17,FALSE)/HLOOKUP("Mins",A1:CV300,17,FALSE)* 90)</f>
      </c>
      <c r="BI17" s="16597">
        <f>IF(HLOOKUP("Mins",A1:CV300,17,FALSE)=0,0,HLOOKUP("BC Created",A1:CV300,17,FALSE)/HLOOKUP("Mins",A1:CV300,17,FALSE)* 90)</f>
      </c>
      <c r="BJ17" s="16598">
        <f>IF(HLOOKUP("Mins",A1:CV300,17,FALSE)=0,0,HLOOKUP("KP",A1:CV300,17,FALSE)/HLOOKUP("Mins",A1:CV300,17,FALSE)* 90)</f>
      </c>
      <c r="BK17" s="16599">
        <f>IF(HLOOKUP("Mins",A1:CV300,17,FALSE)=0,0,HLOOKUP("BC",A1:CV300,17,FALSE)/HLOOKUP("Mins",A1:CV300,17,FALSE)* 90)</f>
      </c>
      <c r="BL17" s="16600">
        <f>IF(HLOOKUP("Mins",A1:CV300,17,FALSE)=0,0,HLOOKUP("BC Miss",A1:CV300,17,FALSE)/HLOOKUP("Mins",A1:CV300,17,FALSE)* 90)</f>
      </c>
      <c r="BM17" s="16601">
        <f>IF(HLOOKUP("Mins",A1:CV300,17,FALSE)=0,0,HLOOKUP("Gs - BC",A1:CV300,17,FALSE)/HLOOKUP("Mins",A1:CV300,17,FALSE)* 90)</f>
      </c>
      <c r="BN17" s="16602">
        <f>IF(HLOOKUP("Mins",A1:CV300,17,FALSE)=0,0,HLOOKUP("GIB",A1:CV300,17,FALSE)/HLOOKUP("Mins",A1:CV300,17,FALSE)* 90)</f>
      </c>
      <c r="BO17" s="16603">
        <f>IF(HLOOKUP("Mins",A1:CV300,17,FALSE)=0,0,HLOOKUP("Gs - Open",A1:CV300,17,FALSE)/HLOOKUP("Mins",A1:CV300,17,FALSE)* 90)</f>
      </c>
      <c r="BP17" s="16604">
        <f>IF(HLOOKUP("Mins",A1:CV300,17,FALSE)=0,0,HLOOKUP("ICT Index",A1:CV300,17,FALSE)/HLOOKUP("Mins",A1:CV300,17,FALSE)* 90)</f>
      </c>
      <c r="BQ17" s="16605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16606">
        <f>0.0885*HLOOKUP("KP/90",A1:CV300,17,FALSE)</f>
      </c>
      <c r="BS17" s="16607">
        <f>5*HLOOKUP("xG/90",A1:CV300,17,FALSE)+3*HLOOKUP("xA/90",A1:CV300,17,FALSE)</f>
      </c>
      <c r="BT17" s="16608">
        <f>HLOOKUP("xPts/90",A1:CV300,17,FALSE)-(5*0.75*(HLOOKUP("PK Gs",A1:CV300,17,FALSE)+HLOOKUP("PK Miss",A1:CV300,17,FALSE))*90/HLOOKUP("Mins",A1:CV300,17,FALSE))</f>
      </c>
      <c r="BU17" s="16609">
        <f>IF(HLOOKUP("Mins",A1:CV300,17,FALSE)=0,0,HLOOKUP("fsXG",A1:CV300,17,FALSE)/HLOOKUP("Mins",A1:CV300,17,FALSE)* 90)</f>
      </c>
      <c r="BV17" s="16610">
        <f>IF(HLOOKUP("Mins",A1:CV300,17,FALSE)=0,0,HLOOKUP("fsXA",A1:CV300,17,FALSE)/HLOOKUP("Mins",A1:CV300,17,FALSE)* 90)</f>
      </c>
      <c r="BW17" s="16611">
        <f>5*HLOOKUP("fsXG/90",A1:CV300,17,FALSE)+3*HLOOKUP("fsXA/90",A1:CV300,17,FALSE)</f>
      </c>
      <c r="BX17" t="n" s="16612">
        <v>0.0</v>
      </c>
      <c r="BY17" t="n" s="16613">
        <v>0.0</v>
      </c>
      <c r="BZ17" s="16614">
        <f>5*HLOOKUP("uXG/90",A1:CV300,17,FALSE)+3*HLOOKUP("uXA/90",A1:CV300,17,FALSE)</f>
      </c>
    </row>
    <row r="18">
      <c r="A18" t="s" s="16615">
        <v>309</v>
      </c>
      <c r="B18" t="s" s="16616">
        <v>100</v>
      </c>
      <c r="C18" t="n" s="16617">
        <v>5.699999809265137</v>
      </c>
      <c r="D18" t="n" s="16618">
        <v>482.0</v>
      </c>
      <c r="E18" t="n" s="16619">
        <v>6.0</v>
      </c>
      <c r="F18" t="n" s="16620">
        <v>85.0</v>
      </c>
      <c r="G18" t="n" s="16621">
        <v>2.0</v>
      </c>
      <c r="H18" t="n" s="16622">
        <v>12.0</v>
      </c>
      <c r="I18" t="n" s="16623">
        <v>364.0</v>
      </c>
      <c r="J18" s="16624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16625">
        <v>0.0</v>
      </c>
      <c r="L18" t="n" s="16626">
        <v>3.0</v>
      </c>
      <c r="M18" t="n" s="16627">
        <v>25.0</v>
      </c>
      <c r="N18" t="n" s="16628">
        <v>12.0</v>
      </c>
      <c r="O18" t="n" s="16629">
        <v>6.0</v>
      </c>
      <c r="P18" s="16630">
        <f>IF(HLOOKUP("Shots",A1:CV300,18,FALSE)=0,0,HLOOKUP("SIB",A1:CV300,18,FALSE)/HLOOKUP("Shots",A1:CV300,18,FALSE))</f>
      </c>
      <c r="Q18" t="n" s="16631">
        <v>0.0</v>
      </c>
      <c r="R18" s="16632">
        <f>IF(HLOOKUP("Shots",A1:CV300,18,FALSE)=0,0,HLOOKUP("S6YD",A1:CV300,18,FALSE)/HLOOKUP("Shots",A1:CV300,18,FALSE))</f>
      </c>
      <c r="S18" t="n" s="16633">
        <v>0.0</v>
      </c>
      <c r="T18" s="16634">
        <f>IF(HLOOKUP("Shots",A1:CV300,18,FALSE)=0,0,HLOOKUP("Headers",A1:CV300,18,FALSE)/HLOOKUP("Shots",A1:CV300,18,FALSE))</f>
      </c>
      <c r="U18" t="n" s="16635">
        <v>5.0</v>
      </c>
      <c r="V18" s="16636">
        <f>IF(HLOOKUP("Shots",A1:CV300,18,FALSE)=0,0,HLOOKUP("SOT",A1:CV300,18,FALSE)/HLOOKUP("Shots",A1:CV300,18,FALSE))</f>
      </c>
      <c r="W18" s="16637">
        <f>IF(HLOOKUP("Shots",A1:CV300,18,FALSE)=0,0,HLOOKUP("Gs",A1:CV300,18,FALSE)/HLOOKUP("Shots",A1:CV300,18,FALSE))</f>
      </c>
      <c r="X18" t="n" s="16638">
        <v>1.0</v>
      </c>
      <c r="Y18" t="n" s="16639">
        <v>4.0</v>
      </c>
      <c r="Z18" t="n" s="16640">
        <v>12.0</v>
      </c>
      <c r="AA18" s="16641">
        <f>IF(HLOOKUP("KP",A1:CV300,18,FALSE)=0,0,HLOOKUP("As",A1:CV300,18,FALSE)/HLOOKUP("KP",A1:CV300,18,FALSE))</f>
      </c>
      <c r="AB18" s="16642"/>
      <c r="AC18" t="n" s="16643">
        <v>38.0</v>
      </c>
      <c r="AD18" t="n" s="16644">
        <v>2.0</v>
      </c>
      <c r="AE18" t="n" s="16645">
        <v>0.0</v>
      </c>
      <c r="AF18" t="n" s="16646">
        <v>0.0</v>
      </c>
      <c r="AG18" s="16647">
        <f>IF(HLOOKUP("BC",A1:CV300,18,FALSE)=0,0,HLOOKUP("Gs - BC",A1:CV300,18,FALSE)/HLOOKUP("BC",A1:CV300,18,FALSE))</f>
      </c>
      <c r="AH18" s="16648">
        <f>HLOOKUP("BC",A1:CV300,18,FALSE) - HLOOKUP("BC Miss",A1:CV300,18,FALSE)</f>
      </c>
      <c r="AI18" s="16649">
        <f>IF(HLOOKUP("Gs",A1:CV300,18,FALSE)=0,0,HLOOKUP("Gs - BC",A1:CV300,18,FALSE)/HLOOKUP("Gs",A1:CV300,18,FALSE))</f>
      </c>
      <c r="AJ18" t="n" s="16650">
        <v>0.0</v>
      </c>
      <c r="AK18" t="n" s="16651">
        <v>0.0</v>
      </c>
      <c r="AL18" s="16652">
        <f>HLOOKUP("BC",A1:CV300,18,FALSE) - (HLOOKUP("PK Gs",A1:CV300,18,FALSE) + HLOOKUP("PK Miss",A1:CV300,18,FALSE))</f>
      </c>
      <c r="AM18" s="16653">
        <f>HLOOKUP("BC Miss",A1:CV300,18,FALSE) - HLOOKUP("PK Miss",A1:CV300,18,FALSE)</f>
      </c>
      <c r="AN18" s="16654">
        <f>IF(HLOOKUP("BC - Open",A1:CV300,18,FALSE)=0,0,HLOOKUP("BC - Open Miss",A1:CV300,18,FALSE)/HLOOKUP("BC - Open",A1:CV300,18,FALSE))</f>
      </c>
      <c r="AO18" t="n" s="16655">
        <v>0.0</v>
      </c>
      <c r="AP18" s="16656">
        <f>IF(HLOOKUP("Gs",A1:CV300,18,FALSE)=0,0,HLOOKUP("GIB",A1:CV300,18,FALSE)/HLOOKUP("Gs",A1:CV300,18,FALSE))</f>
      </c>
      <c r="AQ18" t="n" s="16657">
        <v>2.0</v>
      </c>
      <c r="AR18" s="16658">
        <f>IF(HLOOKUP("Gs",A1:CV300,18,FALSE)=0,0,HLOOKUP("Gs - Open",A1:CV300,18,FALSE)/HLOOKUP("Gs",A1:CV300,18,FALSE))</f>
      </c>
      <c r="AS18" t="n" s="16659">
        <v>0.53</v>
      </c>
      <c r="AT18" t="n" s="16660">
        <v>1.8</v>
      </c>
      <c r="AU18" s="16661">
        <f>IF(HLOOKUP("Mins",A1:CV300,18,FALSE)=0,0,HLOOKUP("Pts",A1:CV300,18,FALSE)/HLOOKUP("Mins",A1:CV300,18,FALSE)* 90)</f>
      </c>
      <c r="AV18" s="16662">
        <f>IF(HLOOKUP("Apps",A1:CV300,18,FALSE)=0,0,HLOOKUP("Pts",A1:CV300,18,FALSE)/HLOOKUP("Apps",A1:CV300,18,FALSE)* 1)</f>
      </c>
      <c r="AW18" s="16663">
        <f>IF(HLOOKUP("Mins",A1:CV300,18,FALSE)=0,0,HLOOKUP("Gs",A1:CV300,18,FALSE)/HLOOKUP("Mins",A1:CV300,18,FALSE)* 90)</f>
      </c>
      <c r="AX18" s="16664">
        <f>IF(HLOOKUP("Mins",A1:CV300,18,FALSE)=0,0,HLOOKUP("Bonus",A1:CV300,18,FALSE)/HLOOKUP("Mins",A1:CV300,18,FALSE)* 90)</f>
      </c>
      <c r="AY18" s="16665">
        <f>IF(HLOOKUP("Mins",A1:CV300,18,FALSE)=0,0,HLOOKUP("BPS",A1:CV300,18,FALSE)/HLOOKUP("Mins",A1:CV300,18,FALSE)* 90)</f>
      </c>
      <c r="AZ18" s="16666">
        <f>IF(HLOOKUP("Mins",A1:CV300,18,FALSE)=0,0,HLOOKUP("Base BPS",A1:CV300,18,FALSE)/HLOOKUP("Mins",A1:CV300,18,FALSE)* 90)</f>
      </c>
      <c r="BA18" s="16667">
        <f>IF(HLOOKUP("Mins",A1:CV300,18,FALSE)=0,0,HLOOKUP("PenTchs",A1:CV300,18,FALSE)/HLOOKUP("Mins",A1:CV300,18,FALSE)* 90)</f>
      </c>
      <c r="BB18" s="16668">
        <f>IF(HLOOKUP("Mins",A1:CV300,18,FALSE)=0,0,HLOOKUP("Shots",A1:CV300,18,FALSE)/HLOOKUP("Mins",A1:CV300,18,FALSE)* 90)</f>
      </c>
      <c r="BC18" s="16669">
        <f>IF(HLOOKUP("Mins",A1:CV300,18,FALSE)=0,0,HLOOKUP("SIB",A1:CV300,18,FALSE)/HLOOKUP("Mins",A1:CV300,18,FALSE)* 90)</f>
      </c>
      <c r="BD18" s="16670">
        <f>IF(HLOOKUP("Mins",A1:CV300,18,FALSE)=0,0,HLOOKUP("S6YD",A1:CV300,18,FALSE)/HLOOKUP("Mins",A1:CV300,18,FALSE)* 90)</f>
      </c>
      <c r="BE18" s="16671">
        <f>IF(HLOOKUP("Mins",A1:CV300,18,FALSE)=0,0,HLOOKUP("Headers",A1:CV300,18,FALSE)/HLOOKUP("Mins",A1:CV300,18,FALSE)* 90)</f>
      </c>
      <c r="BF18" s="16672">
        <f>IF(HLOOKUP("Mins",A1:CV300,18,FALSE)=0,0,HLOOKUP("SOT",A1:CV300,18,FALSE)/HLOOKUP("Mins",A1:CV300,18,FALSE)* 90)</f>
      </c>
      <c r="BG18" s="16673">
        <f>IF(HLOOKUP("Mins",A1:CV300,18,FALSE)=0,0,HLOOKUP("As",A1:CV300,18,FALSE)/HLOOKUP("Mins",A1:CV300,18,FALSE)* 90)</f>
      </c>
      <c r="BH18" s="16674">
        <f>IF(HLOOKUP("Mins",A1:CV300,18,FALSE)=0,0,HLOOKUP("FPL As",A1:CV300,18,FALSE)/HLOOKUP("Mins",A1:CV300,18,FALSE)* 90)</f>
      </c>
      <c r="BI18" s="16675">
        <f>IF(HLOOKUP("Mins",A1:CV300,18,FALSE)=0,0,HLOOKUP("BC Created",A1:CV300,18,FALSE)/HLOOKUP("Mins",A1:CV300,18,FALSE)* 90)</f>
      </c>
      <c r="BJ18" s="16676">
        <f>IF(HLOOKUP("Mins",A1:CV300,18,FALSE)=0,0,HLOOKUP("KP",A1:CV300,18,FALSE)/HLOOKUP("Mins",A1:CV300,18,FALSE)* 90)</f>
      </c>
      <c r="BK18" s="16677">
        <f>IF(HLOOKUP("Mins",A1:CV300,18,FALSE)=0,0,HLOOKUP("BC",A1:CV300,18,FALSE)/HLOOKUP("Mins",A1:CV300,18,FALSE)* 90)</f>
      </c>
      <c r="BL18" s="16678">
        <f>IF(HLOOKUP("Mins",A1:CV300,18,FALSE)=0,0,HLOOKUP("BC Miss",A1:CV300,18,FALSE)/HLOOKUP("Mins",A1:CV300,18,FALSE)* 90)</f>
      </c>
      <c r="BM18" s="16679">
        <f>IF(HLOOKUP("Mins",A1:CV300,18,FALSE)=0,0,HLOOKUP("Gs - BC",A1:CV300,18,FALSE)/HLOOKUP("Mins",A1:CV300,18,FALSE)* 90)</f>
      </c>
      <c r="BN18" s="16680">
        <f>IF(HLOOKUP("Mins",A1:CV300,18,FALSE)=0,0,HLOOKUP("GIB",A1:CV300,18,FALSE)/HLOOKUP("Mins",A1:CV300,18,FALSE)* 90)</f>
      </c>
      <c r="BO18" s="16681">
        <f>IF(HLOOKUP("Mins",A1:CV300,18,FALSE)=0,0,HLOOKUP("Gs - Open",A1:CV300,18,FALSE)/HLOOKUP("Mins",A1:CV300,18,FALSE)* 90)</f>
      </c>
      <c r="BP18" s="16682">
        <f>IF(HLOOKUP("Mins",A1:CV300,18,FALSE)=0,0,HLOOKUP("ICT Index",A1:CV300,18,FALSE)/HLOOKUP("Mins",A1:CV300,18,FALSE)* 90)</f>
      </c>
      <c r="BQ18" s="16683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16684">
        <f>0.0885*HLOOKUP("KP/90",A1:CV300,18,FALSE)</f>
      </c>
      <c r="BS18" s="16685">
        <f>5*HLOOKUP("xG/90",A1:CV300,18,FALSE)+3*HLOOKUP("xA/90",A1:CV300,18,FALSE)</f>
      </c>
      <c r="BT18" s="16686">
        <f>HLOOKUP("xPts/90",A1:CV300,18,FALSE)-(5*0.75*(HLOOKUP("PK Gs",A1:CV300,18,FALSE)+HLOOKUP("PK Miss",A1:CV300,18,FALSE))*90/HLOOKUP("Mins",A1:CV300,18,FALSE))</f>
      </c>
      <c r="BU18" s="16687">
        <f>IF(HLOOKUP("Mins",A1:CV300,18,FALSE)=0,0,HLOOKUP("fsXG",A1:CV300,18,FALSE)/HLOOKUP("Mins",A1:CV300,18,FALSE)* 90)</f>
      </c>
      <c r="BV18" s="16688">
        <f>IF(HLOOKUP("Mins",A1:CV300,18,FALSE)=0,0,HLOOKUP("fsXA",A1:CV300,18,FALSE)/HLOOKUP("Mins",A1:CV300,18,FALSE)* 90)</f>
      </c>
      <c r="BW18" s="16689">
        <f>5*HLOOKUP("fsXG/90",A1:CV300,18,FALSE)+3*HLOOKUP("fsXA/90",A1:CV300,18,FALSE)</f>
      </c>
      <c r="BX18" t="n" s="16690">
        <v>0.10381567478179932</v>
      </c>
      <c r="BY18" t="n" s="16691">
        <v>0.3485141694545746</v>
      </c>
      <c r="BZ18" s="16692">
        <f>5*HLOOKUP("uXG/90",A1:CV300,18,FALSE)+3*HLOOKUP("uXA/90",A1:CV300,18,FALSE)</f>
      </c>
    </row>
    <row r="19">
      <c r="A19" t="s" s="16693">
        <v>310</v>
      </c>
      <c r="B19" t="s" s="16694">
        <v>87</v>
      </c>
      <c r="C19" t="n" s="16695">
        <v>5.800000190734863</v>
      </c>
      <c r="D19" t="n" s="16696">
        <v>51.0</v>
      </c>
      <c r="E19" t="n" s="16697">
        <v>2.0</v>
      </c>
      <c r="F19" t="n" s="16698">
        <v>15.0</v>
      </c>
      <c r="G19" t="n" s="16699">
        <v>0.0</v>
      </c>
      <c r="H19" t="n" s="16700">
        <v>0.0</v>
      </c>
      <c r="I19" t="n" s="16701">
        <v>41.0</v>
      </c>
      <c r="J19" s="16702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16703">
        <v>0.0</v>
      </c>
      <c r="L19" t="n" s="16704">
        <v>2.0</v>
      </c>
      <c r="M19" t="n" s="16705">
        <v>2.0</v>
      </c>
      <c r="N19" t="n" s="16706">
        <v>1.0</v>
      </c>
      <c r="O19" t="n" s="16707">
        <v>0.0</v>
      </c>
      <c r="P19" s="16708">
        <f>IF(HLOOKUP("Shots",A1:CV300,19,FALSE)=0,0,HLOOKUP("SIB",A1:CV300,19,FALSE)/HLOOKUP("Shots",A1:CV300,19,FALSE))</f>
      </c>
      <c r="Q19" t="n" s="16709">
        <v>0.0</v>
      </c>
      <c r="R19" s="16710">
        <f>IF(HLOOKUP("Shots",A1:CV300,19,FALSE)=0,0,HLOOKUP("S6YD",A1:CV300,19,FALSE)/HLOOKUP("Shots",A1:CV300,19,FALSE))</f>
      </c>
      <c r="S19" t="n" s="16711">
        <v>0.0</v>
      </c>
      <c r="T19" s="16712">
        <f>IF(HLOOKUP("Shots",A1:CV300,19,FALSE)=0,0,HLOOKUP("Headers",A1:CV300,19,FALSE)/HLOOKUP("Shots",A1:CV300,19,FALSE))</f>
      </c>
      <c r="U19" t="n" s="16713">
        <v>0.0</v>
      </c>
      <c r="V19" s="16714">
        <f>IF(HLOOKUP("Shots",A1:CV300,19,FALSE)=0,0,HLOOKUP("SOT",A1:CV300,19,FALSE)/HLOOKUP("Shots",A1:CV300,19,FALSE))</f>
      </c>
      <c r="W19" s="16715">
        <f>IF(HLOOKUP("Shots",A1:CV300,19,FALSE)=0,0,HLOOKUP("Gs",A1:CV300,19,FALSE)/HLOOKUP("Shots",A1:CV300,19,FALSE))</f>
      </c>
      <c r="X19" t="n" s="16716">
        <v>0.0</v>
      </c>
      <c r="Y19" t="n" s="16717">
        <v>1.0</v>
      </c>
      <c r="Z19" t="n" s="16718">
        <v>0.0</v>
      </c>
      <c r="AA19" s="16719">
        <f>IF(HLOOKUP("KP",A1:CV300,19,FALSE)=0,0,HLOOKUP("As",A1:CV300,19,FALSE)/HLOOKUP("KP",A1:CV300,19,FALSE))</f>
      </c>
      <c r="AB19" s="16720"/>
      <c r="AC19" t="n" s="16721">
        <v>0.0</v>
      </c>
      <c r="AD19" t="n" s="16722">
        <v>0.0</v>
      </c>
      <c r="AE19" t="n" s="16723">
        <v>0.0</v>
      </c>
      <c r="AF19" t="n" s="16724">
        <v>0.0</v>
      </c>
      <c r="AG19" s="16725">
        <f>IF(HLOOKUP("BC",A1:CV300,19,FALSE)=0,0,HLOOKUP("Gs - BC",A1:CV300,19,FALSE)/HLOOKUP("BC",A1:CV300,19,FALSE))</f>
      </c>
      <c r="AH19" s="16726">
        <f>HLOOKUP("BC",A1:CV300,19,FALSE) - HLOOKUP("BC Miss",A1:CV300,19,FALSE)</f>
      </c>
      <c r="AI19" s="16727">
        <f>IF(HLOOKUP("Gs",A1:CV300,19,FALSE)=0,0,HLOOKUP("Gs - BC",A1:CV300,19,FALSE)/HLOOKUP("Gs",A1:CV300,19,FALSE))</f>
      </c>
      <c r="AJ19" t="n" s="16728">
        <v>0.0</v>
      </c>
      <c r="AK19" t="n" s="16729">
        <v>0.0</v>
      </c>
      <c r="AL19" s="16730">
        <f>HLOOKUP("BC",A1:CV300,19,FALSE) - (HLOOKUP("PK Gs",A1:CV300,19,FALSE) + HLOOKUP("PK Miss",A1:CV300,19,FALSE))</f>
      </c>
      <c r="AM19" s="16731">
        <f>HLOOKUP("BC Miss",A1:CV300,19,FALSE) - HLOOKUP("PK Miss",A1:CV300,19,FALSE)</f>
      </c>
      <c r="AN19" s="16732">
        <f>IF(HLOOKUP("BC - Open",A1:CV300,19,FALSE)=0,0,HLOOKUP("BC - Open Miss",A1:CV300,19,FALSE)/HLOOKUP("BC - Open",A1:CV300,19,FALSE))</f>
      </c>
      <c r="AO19" t="n" s="16733">
        <v>0.0</v>
      </c>
      <c r="AP19" s="16734">
        <f>IF(HLOOKUP("Gs",A1:CV300,19,FALSE)=0,0,HLOOKUP("GIB",A1:CV300,19,FALSE)/HLOOKUP("Gs",A1:CV300,19,FALSE))</f>
      </c>
      <c r="AQ19" t="n" s="16735">
        <v>0.0</v>
      </c>
      <c r="AR19" s="16736">
        <f>IF(HLOOKUP("Gs",A1:CV300,19,FALSE)=0,0,HLOOKUP("Gs - Open",A1:CV300,19,FALSE)/HLOOKUP("Gs",A1:CV300,19,FALSE))</f>
      </c>
      <c r="AS19" t="n" s="16737">
        <v>0.06</v>
      </c>
      <c r="AT19" t="n" s="16738">
        <v>0.0</v>
      </c>
      <c r="AU19" s="16739">
        <f>IF(HLOOKUP("Mins",A1:CV300,19,FALSE)=0,0,HLOOKUP("Pts",A1:CV300,19,FALSE)/HLOOKUP("Mins",A1:CV300,19,FALSE)* 90)</f>
      </c>
      <c r="AV19" s="16740">
        <f>IF(HLOOKUP("Apps",A1:CV300,19,FALSE)=0,0,HLOOKUP("Pts",A1:CV300,19,FALSE)/HLOOKUP("Apps",A1:CV300,19,FALSE)* 1)</f>
      </c>
      <c r="AW19" s="16741">
        <f>IF(HLOOKUP("Mins",A1:CV300,19,FALSE)=0,0,HLOOKUP("Gs",A1:CV300,19,FALSE)/HLOOKUP("Mins",A1:CV300,19,FALSE)* 90)</f>
      </c>
      <c r="AX19" s="16742">
        <f>IF(HLOOKUP("Mins",A1:CV300,19,FALSE)=0,0,HLOOKUP("Bonus",A1:CV300,19,FALSE)/HLOOKUP("Mins",A1:CV300,19,FALSE)* 90)</f>
      </c>
      <c r="AY19" s="16743">
        <f>IF(HLOOKUP("Mins",A1:CV300,19,FALSE)=0,0,HLOOKUP("BPS",A1:CV300,19,FALSE)/HLOOKUP("Mins",A1:CV300,19,FALSE)* 90)</f>
      </c>
      <c r="AZ19" s="16744">
        <f>IF(HLOOKUP("Mins",A1:CV300,19,FALSE)=0,0,HLOOKUP("Base BPS",A1:CV300,19,FALSE)/HLOOKUP("Mins",A1:CV300,19,FALSE)* 90)</f>
      </c>
      <c r="BA19" s="16745">
        <f>IF(HLOOKUP("Mins",A1:CV300,19,FALSE)=0,0,HLOOKUP("PenTchs",A1:CV300,19,FALSE)/HLOOKUP("Mins",A1:CV300,19,FALSE)* 90)</f>
      </c>
      <c r="BB19" s="16746">
        <f>IF(HLOOKUP("Mins",A1:CV300,19,FALSE)=0,0,HLOOKUP("Shots",A1:CV300,19,FALSE)/HLOOKUP("Mins",A1:CV300,19,FALSE)* 90)</f>
      </c>
      <c r="BC19" s="16747">
        <f>IF(HLOOKUP("Mins",A1:CV300,19,FALSE)=0,0,HLOOKUP("SIB",A1:CV300,19,FALSE)/HLOOKUP("Mins",A1:CV300,19,FALSE)* 90)</f>
      </c>
      <c r="BD19" s="16748">
        <f>IF(HLOOKUP("Mins",A1:CV300,19,FALSE)=0,0,HLOOKUP("S6YD",A1:CV300,19,FALSE)/HLOOKUP("Mins",A1:CV300,19,FALSE)* 90)</f>
      </c>
      <c r="BE19" s="16749">
        <f>IF(HLOOKUP("Mins",A1:CV300,19,FALSE)=0,0,HLOOKUP("Headers",A1:CV300,19,FALSE)/HLOOKUP("Mins",A1:CV300,19,FALSE)* 90)</f>
      </c>
      <c r="BF19" s="16750">
        <f>IF(HLOOKUP("Mins",A1:CV300,19,FALSE)=0,0,HLOOKUP("SOT",A1:CV300,19,FALSE)/HLOOKUP("Mins",A1:CV300,19,FALSE)* 90)</f>
      </c>
      <c r="BG19" s="16751">
        <f>IF(HLOOKUP("Mins",A1:CV300,19,FALSE)=0,0,HLOOKUP("As",A1:CV300,19,FALSE)/HLOOKUP("Mins",A1:CV300,19,FALSE)* 90)</f>
      </c>
      <c r="BH19" s="16752">
        <f>IF(HLOOKUP("Mins",A1:CV300,19,FALSE)=0,0,HLOOKUP("FPL As",A1:CV300,19,FALSE)/HLOOKUP("Mins",A1:CV300,19,FALSE)* 90)</f>
      </c>
      <c r="BI19" s="16753">
        <f>IF(HLOOKUP("Mins",A1:CV300,19,FALSE)=0,0,HLOOKUP("BC Created",A1:CV300,19,FALSE)/HLOOKUP("Mins",A1:CV300,19,FALSE)* 90)</f>
      </c>
      <c r="BJ19" s="16754">
        <f>IF(HLOOKUP("Mins",A1:CV300,19,FALSE)=0,0,HLOOKUP("KP",A1:CV300,19,FALSE)/HLOOKUP("Mins",A1:CV300,19,FALSE)* 90)</f>
      </c>
      <c r="BK19" s="16755">
        <f>IF(HLOOKUP("Mins",A1:CV300,19,FALSE)=0,0,HLOOKUP("BC",A1:CV300,19,FALSE)/HLOOKUP("Mins",A1:CV300,19,FALSE)* 90)</f>
      </c>
      <c r="BL19" s="16756">
        <f>IF(HLOOKUP("Mins",A1:CV300,19,FALSE)=0,0,HLOOKUP("BC Miss",A1:CV300,19,FALSE)/HLOOKUP("Mins",A1:CV300,19,FALSE)* 90)</f>
      </c>
      <c r="BM19" s="16757">
        <f>IF(HLOOKUP("Mins",A1:CV300,19,FALSE)=0,0,HLOOKUP("Gs - BC",A1:CV300,19,FALSE)/HLOOKUP("Mins",A1:CV300,19,FALSE)* 90)</f>
      </c>
      <c r="BN19" s="16758">
        <f>IF(HLOOKUP("Mins",A1:CV300,19,FALSE)=0,0,HLOOKUP("GIB",A1:CV300,19,FALSE)/HLOOKUP("Mins",A1:CV300,19,FALSE)* 90)</f>
      </c>
      <c r="BO19" s="16759">
        <f>IF(HLOOKUP("Mins",A1:CV300,19,FALSE)=0,0,HLOOKUP("Gs - Open",A1:CV300,19,FALSE)/HLOOKUP("Mins",A1:CV300,19,FALSE)* 90)</f>
      </c>
      <c r="BP19" s="16760">
        <f>IF(HLOOKUP("Mins",A1:CV300,19,FALSE)=0,0,HLOOKUP("ICT Index",A1:CV300,19,FALSE)/HLOOKUP("Mins",A1:CV300,19,FALSE)* 90)</f>
      </c>
      <c r="BQ19" s="16761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16762">
        <f>0.0885*HLOOKUP("KP/90",A1:CV300,19,FALSE)</f>
      </c>
      <c r="BS19" s="16763">
        <f>5*HLOOKUP("xG/90",A1:CV300,19,FALSE)+3*HLOOKUP("xA/90",A1:CV300,19,FALSE)</f>
      </c>
      <c r="BT19" s="16764">
        <f>HLOOKUP("xPts/90",A1:CV300,19,FALSE)-(5*0.75*(HLOOKUP("PK Gs",A1:CV300,19,FALSE)+HLOOKUP("PK Miss",A1:CV300,19,FALSE))*90/HLOOKUP("Mins",A1:CV300,19,FALSE))</f>
      </c>
      <c r="BU19" s="16765">
        <f>IF(HLOOKUP("Mins",A1:CV300,19,FALSE)=0,0,HLOOKUP("fsXG",A1:CV300,19,FALSE)/HLOOKUP("Mins",A1:CV300,19,FALSE)* 90)</f>
      </c>
      <c r="BV19" s="16766">
        <f>IF(HLOOKUP("Mins",A1:CV300,19,FALSE)=0,0,HLOOKUP("fsXA",A1:CV300,19,FALSE)/HLOOKUP("Mins",A1:CV300,19,FALSE)* 90)</f>
      </c>
      <c r="BW19" s="16767">
        <f>5*HLOOKUP("fsXG/90",A1:CV300,19,FALSE)+3*HLOOKUP("fsXA/90",A1:CV300,19,FALSE)</f>
      </c>
      <c r="BX19" t="n" s="16768">
        <v>0.11005160957574844</v>
      </c>
      <c r="BY19" t="n" s="16769">
        <v>0.0</v>
      </c>
      <c r="BZ19" s="16770">
        <f>5*HLOOKUP("uXG/90",A1:CV300,19,FALSE)+3*HLOOKUP("uXA/90",A1:CV300,19,FALSE)</f>
      </c>
    </row>
    <row r="20">
      <c r="A20" t="s" s="16771">
        <v>311</v>
      </c>
      <c r="B20" t="s" s="16772">
        <v>112</v>
      </c>
      <c r="C20" t="n" s="16773">
        <v>6.599999904632568</v>
      </c>
      <c r="D20" t="n" s="16774">
        <v>263.0</v>
      </c>
      <c r="E20" t="n" s="16775">
        <v>4.0</v>
      </c>
      <c r="F20" t="n" s="16776">
        <v>57.0</v>
      </c>
      <c r="G20" t="n" s="16777">
        <v>1.0</v>
      </c>
      <c r="H20" t="n" s="16778">
        <v>1.0</v>
      </c>
      <c r="I20" t="n" s="16779">
        <v>282.0</v>
      </c>
      <c r="J20" s="16780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16781">
        <v>0.0</v>
      </c>
      <c r="L20" t="n" s="16782">
        <v>6.0</v>
      </c>
      <c r="M20" t="n" s="16783">
        <v>10.0</v>
      </c>
      <c r="N20" t="n" s="16784">
        <v>3.0</v>
      </c>
      <c r="O20" t="n" s="16785">
        <v>2.0</v>
      </c>
      <c r="P20" s="16786">
        <f>IF(HLOOKUP("Shots",A1:CV300,20,FALSE)=0,0,HLOOKUP("SIB",A1:CV300,20,FALSE)/HLOOKUP("Shots",A1:CV300,20,FALSE))</f>
      </c>
      <c r="Q20" t="n" s="16787">
        <v>0.0</v>
      </c>
      <c r="R20" s="16788">
        <f>IF(HLOOKUP("Shots",A1:CV300,20,FALSE)=0,0,HLOOKUP("S6YD",A1:CV300,20,FALSE)/HLOOKUP("Shots",A1:CV300,20,FALSE))</f>
      </c>
      <c r="S20" t="n" s="16789">
        <v>0.0</v>
      </c>
      <c r="T20" s="16790">
        <f>IF(HLOOKUP("Shots",A1:CV300,20,FALSE)=0,0,HLOOKUP("Headers",A1:CV300,20,FALSE)/HLOOKUP("Shots",A1:CV300,20,FALSE))</f>
      </c>
      <c r="U20" t="n" s="16791">
        <v>1.0</v>
      </c>
      <c r="V20" s="16792">
        <f>IF(HLOOKUP("Shots",A1:CV300,20,FALSE)=0,0,HLOOKUP("SOT",A1:CV300,20,FALSE)/HLOOKUP("Shots",A1:CV300,20,FALSE))</f>
      </c>
      <c r="W20" s="16793">
        <f>IF(HLOOKUP("Shots",A1:CV300,20,FALSE)=0,0,HLOOKUP("Gs",A1:CV300,20,FALSE)/HLOOKUP("Shots",A1:CV300,20,FALSE))</f>
      </c>
      <c r="X20" t="n" s="16794">
        <v>1.0</v>
      </c>
      <c r="Y20" t="n" s="16795">
        <v>4.0</v>
      </c>
      <c r="Z20" t="n" s="16796">
        <v>5.0</v>
      </c>
      <c r="AA20" s="16797">
        <f>IF(HLOOKUP("KP",A1:CV300,20,FALSE)=0,0,HLOOKUP("As",A1:CV300,20,FALSE)/HLOOKUP("KP",A1:CV300,20,FALSE))</f>
      </c>
      <c r="AB20" s="16798"/>
      <c r="AC20" t="n" s="16799">
        <v>40.0</v>
      </c>
      <c r="AD20" t="n" s="16800">
        <v>0.0</v>
      </c>
      <c r="AE20" t="n" s="16801">
        <v>2.0</v>
      </c>
      <c r="AF20" t="n" s="16802">
        <v>1.0</v>
      </c>
      <c r="AG20" s="16803">
        <f>IF(HLOOKUP("BC",A1:CV300,20,FALSE)=0,0,HLOOKUP("Gs - BC",A1:CV300,20,FALSE)/HLOOKUP("BC",A1:CV300,20,FALSE))</f>
      </c>
      <c r="AH20" s="16804">
        <f>HLOOKUP("BC",A1:CV300,20,FALSE) - HLOOKUP("BC Miss",A1:CV300,20,FALSE)</f>
      </c>
      <c r="AI20" s="16805">
        <f>IF(HLOOKUP("Gs",A1:CV300,20,FALSE)=0,0,HLOOKUP("Gs - BC",A1:CV300,20,FALSE)/HLOOKUP("Gs",A1:CV300,20,FALSE))</f>
      </c>
      <c r="AJ20" t="n" s="16806">
        <v>0.0</v>
      </c>
      <c r="AK20" t="n" s="16807">
        <v>0.0</v>
      </c>
      <c r="AL20" s="16808">
        <f>HLOOKUP("BC",A1:CV300,20,FALSE) - (HLOOKUP("PK Gs",A1:CV300,20,FALSE) + HLOOKUP("PK Miss",A1:CV300,20,FALSE))</f>
      </c>
      <c r="AM20" s="16809">
        <f>HLOOKUP("BC Miss",A1:CV300,20,FALSE) - HLOOKUP("PK Miss",A1:CV300,20,FALSE)</f>
      </c>
      <c r="AN20" s="16810">
        <f>IF(HLOOKUP("BC - Open",A1:CV300,20,FALSE)=0,0,HLOOKUP("BC - Open Miss",A1:CV300,20,FALSE)/HLOOKUP("BC - Open",A1:CV300,20,FALSE))</f>
      </c>
      <c r="AO20" t="n" s="16811">
        <v>1.0</v>
      </c>
      <c r="AP20" s="16812">
        <f>IF(HLOOKUP("Gs",A1:CV300,20,FALSE)=0,0,HLOOKUP("GIB",A1:CV300,20,FALSE)/HLOOKUP("Gs",A1:CV300,20,FALSE))</f>
      </c>
      <c r="AQ20" t="n" s="16813">
        <v>1.0</v>
      </c>
      <c r="AR20" s="16814">
        <f>IF(HLOOKUP("Gs",A1:CV300,20,FALSE)=0,0,HLOOKUP("Gs - Open",A1:CV300,20,FALSE)/HLOOKUP("Gs",A1:CV300,20,FALSE))</f>
      </c>
      <c r="AS20" t="n" s="16815">
        <v>0.82</v>
      </c>
      <c r="AT20" t="n" s="16816">
        <v>0.24</v>
      </c>
      <c r="AU20" s="16817">
        <f>IF(HLOOKUP("Mins",A1:CV300,20,FALSE)=0,0,HLOOKUP("Pts",A1:CV300,20,FALSE)/HLOOKUP("Mins",A1:CV300,20,FALSE)* 90)</f>
      </c>
      <c r="AV20" s="16818">
        <f>IF(HLOOKUP("Apps",A1:CV300,20,FALSE)=0,0,HLOOKUP("Pts",A1:CV300,20,FALSE)/HLOOKUP("Apps",A1:CV300,20,FALSE)* 1)</f>
      </c>
      <c r="AW20" s="16819">
        <f>IF(HLOOKUP("Mins",A1:CV300,20,FALSE)=0,0,HLOOKUP("Gs",A1:CV300,20,FALSE)/HLOOKUP("Mins",A1:CV300,20,FALSE)* 90)</f>
      </c>
      <c r="AX20" s="16820">
        <f>IF(HLOOKUP("Mins",A1:CV300,20,FALSE)=0,0,HLOOKUP("Bonus",A1:CV300,20,FALSE)/HLOOKUP("Mins",A1:CV300,20,FALSE)* 90)</f>
      </c>
      <c r="AY20" s="16821">
        <f>IF(HLOOKUP("Mins",A1:CV300,20,FALSE)=0,0,HLOOKUP("BPS",A1:CV300,20,FALSE)/HLOOKUP("Mins",A1:CV300,20,FALSE)* 90)</f>
      </c>
      <c r="AZ20" s="16822">
        <f>IF(HLOOKUP("Mins",A1:CV300,20,FALSE)=0,0,HLOOKUP("Base BPS",A1:CV300,20,FALSE)/HLOOKUP("Mins",A1:CV300,20,FALSE)* 90)</f>
      </c>
      <c r="BA20" s="16823">
        <f>IF(HLOOKUP("Mins",A1:CV300,20,FALSE)=0,0,HLOOKUP("PenTchs",A1:CV300,20,FALSE)/HLOOKUP("Mins",A1:CV300,20,FALSE)* 90)</f>
      </c>
      <c r="BB20" s="16824">
        <f>IF(HLOOKUP("Mins",A1:CV300,20,FALSE)=0,0,HLOOKUP("Shots",A1:CV300,20,FALSE)/HLOOKUP("Mins",A1:CV300,20,FALSE)* 90)</f>
      </c>
      <c r="BC20" s="16825">
        <f>IF(HLOOKUP("Mins",A1:CV300,20,FALSE)=0,0,HLOOKUP("SIB",A1:CV300,20,FALSE)/HLOOKUP("Mins",A1:CV300,20,FALSE)* 90)</f>
      </c>
      <c r="BD20" s="16826">
        <f>IF(HLOOKUP("Mins",A1:CV300,20,FALSE)=0,0,HLOOKUP("S6YD",A1:CV300,20,FALSE)/HLOOKUP("Mins",A1:CV300,20,FALSE)* 90)</f>
      </c>
      <c r="BE20" s="16827">
        <f>IF(HLOOKUP("Mins",A1:CV300,20,FALSE)=0,0,HLOOKUP("Headers",A1:CV300,20,FALSE)/HLOOKUP("Mins",A1:CV300,20,FALSE)* 90)</f>
      </c>
      <c r="BF20" s="16828">
        <f>IF(HLOOKUP("Mins",A1:CV300,20,FALSE)=0,0,HLOOKUP("SOT",A1:CV300,20,FALSE)/HLOOKUP("Mins",A1:CV300,20,FALSE)* 90)</f>
      </c>
      <c r="BG20" s="16829">
        <f>IF(HLOOKUP("Mins",A1:CV300,20,FALSE)=0,0,HLOOKUP("As",A1:CV300,20,FALSE)/HLOOKUP("Mins",A1:CV300,20,FALSE)* 90)</f>
      </c>
      <c r="BH20" s="16830">
        <f>IF(HLOOKUP("Mins",A1:CV300,20,FALSE)=0,0,HLOOKUP("FPL As",A1:CV300,20,FALSE)/HLOOKUP("Mins",A1:CV300,20,FALSE)* 90)</f>
      </c>
      <c r="BI20" s="16831">
        <f>IF(HLOOKUP("Mins",A1:CV300,20,FALSE)=0,0,HLOOKUP("BC Created",A1:CV300,20,FALSE)/HLOOKUP("Mins",A1:CV300,20,FALSE)* 90)</f>
      </c>
      <c r="BJ20" s="16832">
        <f>IF(HLOOKUP("Mins",A1:CV300,20,FALSE)=0,0,HLOOKUP("KP",A1:CV300,20,FALSE)/HLOOKUP("Mins",A1:CV300,20,FALSE)* 90)</f>
      </c>
      <c r="BK20" s="16833">
        <f>IF(HLOOKUP("Mins",A1:CV300,20,FALSE)=0,0,HLOOKUP("BC",A1:CV300,20,FALSE)/HLOOKUP("Mins",A1:CV300,20,FALSE)* 90)</f>
      </c>
      <c r="BL20" s="16834">
        <f>IF(HLOOKUP("Mins",A1:CV300,20,FALSE)=0,0,HLOOKUP("BC Miss",A1:CV300,20,FALSE)/HLOOKUP("Mins",A1:CV300,20,FALSE)* 90)</f>
      </c>
      <c r="BM20" s="16835">
        <f>IF(HLOOKUP("Mins",A1:CV300,20,FALSE)=0,0,HLOOKUP("Gs - BC",A1:CV300,20,FALSE)/HLOOKUP("Mins",A1:CV300,20,FALSE)* 90)</f>
      </c>
      <c r="BN20" s="16836">
        <f>IF(HLOOKUP("Mins",A1:CV300,20,FALSE)=0,0,HLOOKUP("GIB",A1:CV300,20,FALSE)/HLOOKUP("Mins",A1:CV300,20,FALSE)* 90)</f>
      </c>
      <c r="BO20" s="16837">
        <f>IF(HLOOKUP("Mins",A1:CV300,20,FALSE)=0,0,HLOOKUP("Gs - Open",A1:CV300,20,FALSE)/HLOOKUP("Mins",A1:CV300,20,FALSE)* 90)</f>
      </c>
      <c r="BP20" s="16838">
        <f>IF(HLOOKUP("Mins",A1:CV300,20,FALSE)=0,0,HLOOKUP("ICT Index",A1:CV300,20,FALSE)/HLOOKUP("Mins",A1:CV300,20,FALSE)* 90)</f>
      </c>
      <c r="BQ20" s="16839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16840">
        <f>0.0885*HLOOKUP("KP/90",A1:CV300,20,FALSE)</f>
      </c>
      <c r="BS20" s="16841">
        <f>5*HLOOKUP("xG/90",A1:CV300,20,FALSE)+3*HLOOKUP("xA/90",A1:CV300,20,FALSE)</f>
      </c>
      <c r="BT20" s="16842">
        <f>HLOOKUP("xPts/90",A1:CV300,20,FALSE)-(5*0.75*(HLOOKUP("PK Gs",A1:CV300,20,FALSE)+HLOOKUP("PK Miss",A1:CV300,20,FALSE))*90/HLOOKUP("Mins",A1:CV300,20,FALSE))</f>
      </c>
      <c r="BU20" s="16843">
        <f>IF(HLOOKUP("Mins",A1:CV300,20,FALSE)=0,0,HLOOKUP("fsXG",A1:CV300,20,FALSE)/HLOOKUP("Mins",A1:CV300,20,FALSE)* 90)</f>
      </c>
      <c r="BV20" s="16844">
        <f>IF(HLOOKUP("Mins",A1:CV300,20,FALSE)=0,0,HLOOKUP("fsXA",A1:CV300,20,FALSE)/HLOOKUP("Mins",A1:CV300,20,FALSE)* 90)</f>
      </c>
      <c r="BW20" s="16845">
        <f>5*HLOOKUP("fsXG/90",A1:CV300,20,FALSE)+3*HLOOKUP("fsXA/90",A1:CV300,20,FALSE)</f>
      </c>
      <c r="BX20" t="n" s="16846">
        <v>0.16963732242584229</v>
      </c>
      <c r="BY20" t="n" s="16847">
        <v>0.1056378036737442</v>
      </c>
      <c r="BZ20" s="16848">
        <f>5*HLOOKUP("uXG/90",A1:CV300,20,FALSE)+3*HLOOKUP("uXA/90",A1:CV300,20,FALSE)</f>
      </c>
    </row>
    <row r="21">
      <c r="A21" t="s" s="16849">
        <v>312</v>
      </c>
      <c r="B21" t="s" s="16850">
        <v>117</v>
      </c>
      <c r="C21" t="n" s="16851">
        <v>4.800000190734863</v>
      </c>
      <c r="D21" t="n" s="16852">
        <v>527.0</v>
      </c>
      <c r="E21" t="n" s="16853">
        <v>6.0</v>
      </c>
      <c r="F21" t="n" s="16854">
        <v>42.0</v>
      </c>
      <c r="G21" t="n" s="16855">
        <v>0.0</v>
      </c>
      <c r="H21" t="n" s="16856">
        <v>2.0</v>
      </c>
      <c r="I21" t="n" s="16857">
        <v>225.0</v>
      </c>
      <c r="J21" s="16858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16859">
        <v>0.0</v>
      </c>
      <c r="L21" t="n" s="16860">
        <v>5.0</v>
      </c>
      <c r="M21" t="n" s="16861">
        <v>5.0</v>
      </c>
      <c r="N21" t="n" s="16862">
        <v>4.0</v>
      </c>
      <c r="O21" t="n" s="16863">
        <v>1.0</v>
      </c>
      <c r="P21" s="16864">
        <f>IF(HLOOKUP("Shots",A1:CV300,21,FALSE)=0,0,HLOOKUP("SIB",A1:CV300,21,FALSE)/HLOOKUP("Shots",A1:CV300,21,FALSE))</f>
      </c>
      <c r="Q21" t="n" s="16865">
        <v>0.0</v>
      </c>
      <c r="R21" s="16866">
        <f>IF(HLOOKUP("Shots",A1:CV300,21,FALSE)=0,0,HLOOKUP("S6YD",A1:CV300,21,FALSE)/HLOOKUP("Shots",A1:CV300,21,FALSE))</f>
      </c>
      <c r="S21" t="n" s="16867">
        <v>0.0</v>
      </c>
      <c r="T21" s="16868">
        <f>IF(HLOOKUP("Shots",A1:CV300,21,FALSE)=0,0,HLOOKUP("Headers",A1:CV300,21,FALSE)/HLOOKUP("Shots",A1:CV300,21,FALSE))</f>
      </c>
      <c r="U21" t="n" s="16869">
        <v>0.0</v>
      </c>
      <c r="V21" s="16870">
        <f>IF(HLOOKUP("Shots",A1:CV300,21,FALSE)=0,0,HLOOKUP("SOT",A1:CV300,21,FALSE)/HLOOKUP("Shots",A1:CV300,21,FALSE))</f>
      </c>
      <c r="W21" s="16871">
        <f>IF(HLOOKUP("Shots",A1:CV300,21,FALSE)=0,0,HLOOKUP("Gs",A1:CV300,21,FALSE)/HLOOKUP("Shots",A1:CV300,21,FALSE))</f>
      </c>
      <c r="X21" t="n" s="16872">
        <v>1.0</v>
      </c>
      <c r="Y21" t="n" s="16873">
        <v>2.0</v>
      </c>
      <c r="Z21" t="n" s="16874">
        <v>5.0</v>
      </c>
      <c r="AA21" s="16875">
        <f>IF(HLOOKUP("KP",A1:CV300,21,FALSE)=0,0,HLOOKUP("As",A1:CV300,21,FALSE)/HLOOKUP("KP",A1:CV300,21,FALSE))</f>
      </c>
      <c r="AB21" s="16876"/>
      <c r="AC21" t="n" s="16877">
        <v>9.0</v>
      </c>
      <c r="AD21" t="n" s="16878">
        <v>1.0</v>
      </c>
      <c r="AE21" t="n" s="16879">
        <v>0.0</v>
      </c>
      <c r="AF21" t="n" s="16880">
        <v>0.0</v>
      </c>
      <c r="AG21" s="16881">
        <f>IF(HLOOKUP("BC",A1:CV300,21,FALSE)=0,0,HLOOKUP("Gs - BC",A1:CV300,21,FALSE)/HLOOKUP("BC",A1:CV300,21,FALSE))</f>
      </c>
      <c r="AH21" s="16882">
        <f>HLOOKUP("BC",A1:CV300,21,FALSE) - HLOOKUP("BC Miss",A1:CV300,21,FALSE)</f>
      </c>
      <c r="AI21" s="16883">
        <f>IF(HLOOKUP("Gs",A1:CV300,21,FALSE)=0,0,HLOOKUP("Gs - BC",A1:CV300,21,FALSE)/HLOOKUP("Gs",A1:CV300,21,FALSE))</f>
      </c>
      <c r="AJ21" t="n" s="16884">
        <v>0.0</v>
      </c>
      <c r="AK21" t="n" s="16885">
        <v>0.0</v>
      </c>
      <c r="AL21" s="16886">
        <f>HLOOKUP("BC",A1:CV300,21,FALSE) - (HLOOKUP("PK Gs",A1:CV300,21,FALSE) + HLOOKUP("PK Miss",A1:CV300,21,FALSE))</f>
      </c>
      <c r="AM21" s="16887">
        <f>HLOOKUP("BC Miss",A1:CV300,21,FALSE) - HLOOKUP("PK Miss",A1:CV300,21,FALSE)</f>
      </c>
      <c r="AN21" s="16888">
        <f>IF(HLOOKUP("BC - Open",A1:CV300,21,FALSE)=0,0,HLOOKUP("BC - Open Miss",A1:CV300,21,FALSE)/HLOOKUP("BC - Open",A1:CV300,21,FALSE))</f>
      </c>
      <c r="AO21" t="n" s="16889">
        <v>0.0</v>
      </c>
      <c r="AP21" s="16890">
        <f>IF(HLOOKUP("Gs",A1:CV300,21,FALSE)=0,0,HLOOKUP("GIB",A1:CV300,21,FALSE)/HLOOKUP("Gs",A1:CV300,21,FALSE))</f>
      </c>
      <c r="AQ21" t="n" s="16891">
        <v>0.0</v>
      </c>
      <c r="AR21" s="16892">
        <f>IF(HLOOKUP("Gs",A1:CV300,21,FALSE)=0,0,HLOOKUP("Gs - Open",A1:CV300,21,FALSE)/HLOOKUP("Gs",A1:CV300,21,FALSE))</f>
      </c>
      <c r="AS21" t="n" s="16893">
        <v>0.2</v>
      </c>
      <c r="AT21" t="n" s="16894">
        <v>0.77</v>
      </c>
      <c r="AU21" s="16895">
        <f>IF(HLOOKUP("Mins",A1:CV300,21,FALSE)=0,0,HLOOKUP("Pts",A1:CV300,21,FALSE)/HLOOKUP("Mins",A1:CV300,21,FALSE)* 90)</f>
      </c>
      <c r="AV21" s="16896">
        <f>IF(HLOOKUP("Apps",A1:CV300,21,FALSE)=0,0,HLOOKUP("Pts",A1:CV300,21,FALSE)/HLOOKUP("Apps",A1:CV300,21,FALSE)* 1)</f>
      </c>
      <c r="AW21" s="16897">
        <f>IF(HLOOKUP("Mins",A1:CV300,21,FALSE)=0,0,HLOOKUP("Gs",A1:CV300,21,FALSE)/HLOOKUP("Mins",A1:CV300,21,FALSE)* 90)</f>
      </c>
      <c r="AX21" s="16898">
        <f>IF(HLOOKUP("Mins",A1:CV300,21,FALSE)=0,0,HLOOKUP("Bonus",A1:CV300,21,FALSE)/HLOOKUP("Mins",A1:CV300,21,FALSE)* 90)</f>
      </c>
      <c r="AY21" s="16899">
        <f>IF(HLOOKUP("Mins",A1:CV300,21,FALSE)=0,0,HLOOKUP("BPS",A1:CV300,21,FALSE)/HLOOKUP("Mins",A1:CV300,21,FALSE)* 90)</f>
      </c>
      <c r="AZ21" s="16900">
        <f>IF(HLOOKUP("Mins",A1:CV300,21,FALSE)=0,0,HLOOKUP("Base BPS",A1:CV300,21,FALSE)/HLOOKUP("Mins",A1:CV300,21,FALSE)* 90)</f>
      </c>
      <c r="BA21" s="16901">
        <f>IF(HLOOKUP("Mins",A1:CV300,21,FALSE)=0,0,HLOOKUP("PenTchs",A1:CV300,21,FALSE)/HLOOKUP("Mins",A1:CV300,21,FALSE)* 90)</f>
      </c>
      <c r="BB21" s="16902">
        <f>IF(HLOOKUP("Mins",A1:CV300,21,FALSE)=0,0,HLOOKUP("Shots",A1:CV300,21,FALSE)/HLOOKUP("Mins",A1:CV300,21,FALSE)* 90)</f>
      </c>
      <c r="BC21" s="16903">
        <f>IF(HLOOKUP("Mins",A1:CV300,21,FALSE)=0,0,HLOOKUP("SIB",A1:CV300,21,FALSE)/HLOOKUP("Mins",A1:CV300,21,FALSE)* 90)</f>
      </c>
      <c r="BD21" s="16904">
        <f>IF(HLOOKUP("Mins",A1:CV300,21,FALSE)=0,0,HLOOKUP("S6YD",A1:CV300,21,FALSE)/HLOOKUP("Mins",A1:CV300,21,FALSE)* 90)</f>
      </c>
      <c r="BE21" s="16905">
        <f>IF(HLOOKUP("Mins",A1:CV300,21,FALSE)=0,0,HLOOKUP("Headers",A1:CV300,21,FALSE)/HLOOKUP("Mins",A1:CV300,21,FALSE)* 90)</f>
      </c>
      <c r="BF21" s="16906">
        <f>IF(HLOOKUP("Mins",A1:CV300,21,FALSE)=0,0,HLOOKUP("SOT",A1:CV300,21,FALSE)/HLOOKUP("Mins",A1:CV300,21,FALSE)* 90)</f>
      </c>
      <c r="BG21" s="16907">
        <f>IF(HLOOKUP("Mins",A1:CV300,21,FALSE)=0,0,HLOOKUP("As",A1:CV300,21,FALSE)/HLOOKUP("Mins",A1:CV300,21,FALSE)* 90)</f>
      </c>
      <c r="BH21" s="16908">
        <f>IF(HLOOKUP("Mins",A1:CV300,21,FALSE)=0,0,HLOOKUP("FPL As",A1:CV300,21,FALSE)/HLOOKUP("Mins",A1:CV300,21,FALSE)* 90)</f>
      </c>
      <c r="BI21" s="16909">
        <f>IF(HLOOKUP("Mins",A1:CV300,21,FALSE)=0,0,HLOOKUP("BC Created",A1:CV300,21,FALSE)/HLOOKUP("Mins",A1:CV300,21,FALSE)* 90)</f>
      </c>
      <c r="BJ21" s="16910">
        <f>IF(HLOOKUP("Mins",A1:CV300,21,FALSE)=0,0,HLOOKUP("KP",A1:CV300,21,FALSE)/HLOOKUP("Mins",A1:CV300,21,FALSE)* 90)</f>
      </c>
      <c r="BK21" s="16911">
        <f>IF(HLOOKUP("Mins",A1:CV300,21,FALSE)=0,0,HLOOKUP("BC",A1:CV300,21,FALSE)/HLOOKUP("Mins",A1:CV300,21,FALSE)* 90)</f>
      </c>
      <c r="BL21" s="16912">
        <f>IF(HLOOKUP("Mins",A1:CV300,21,FALSE)=0,0,HLOOKUP("BC Miss",A1:CV300,21,FALSE)/HLOOKUP("Mins",A1:CV300,21,FALSE)* 90)</f>
      </c>
      <c r="BM21" s="16913">
        <f>IF(HLOOKUP("Mins",A1:CV300,21,FALSE)=0,0,HLOOKUP("Gs - BC",A1:CV300,21,FALSE)/HLOOKUP("Mins",A1:CV300,21,FALSE)* 90)</f>
      </c>
      <c r="BN21" s="16914">
        <f>IF(HLOOKUP("Mins",A1:CV300,21,FALSE)=0,0,HLOOKUP("GIB",A1:CV300,21,FALSE)/HLOOKUP("Mins",A1:CV300,21,FALSE)* 90)</f>
      </c>
      <c r="BO21" s="16915">
        <f>IF(HLOOKUP("Mins",A1:CV300,21,FALSE)=0,0,HLOOKUP("Gs - Open",A1:CV300,21,FALSE)/HLOOKUP("Mins",A1:CV300,21,FALSE)* 90)</f>
      </c>
      <c r="BP21" s="16916">
        <f>IF(HLOOKUP("Mins",A1:CV300,21,FALSE)=0,0,HLOOKUP("ICT Index",A1:CV300,21,FALSE)/HLOOKUP("Mins",A1:CV300,21,FALSE)* 90)</f>
      </c>
      <c r="BQ21" s="16917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16918">
        <f>0.0885*HLOOKUP("KP/90",A1:CV300,21,FALSE)</f>
      </c>
      <c r="BS21" s="16919">
        <f>5*HLOOKUP("xG/90",A1:CV300,21,FALSE)+3*HLOOKUP("xA/90",A1:CV300,21,FALSE)</f>
      </c>
      <c r="BT21" s="16920">
        <f>HLOOKUP("xPts/90",A1:CV300,21,FALSE)-(5*0.75*(HLOOKUP("PK Gs",A1:CV300,21,FALSE)+HLOOKUP("PK Miss",A1:CV300,21,FALSE))*90/HLOOKUP("Mins",A1:CV300,21,FALSE))</f>
      </c>
      <c r="BU21" s="16921">
        <f>IF(HLOOKUP("Mins",A1:CV300,21,FALSE)=0,0,HLOOKUP("fsXG",A1:CV300,21,FALSE)/HLOOKUP("Mins",A1:CV300,21,FALSE)* 90)</f>
      </c>
      <c r="BV21" s="16922">
        <f>IF(HLOOKUP("Mins",A1:CV300,21,FALSE)=0,0,HLOOKUP("fsXA",A1:CV300,21,FALSE)/HLOOKUP("Mins",A1:CV300,21,FALSE)* 90)</f>
      </c>
      <c r="BW21" s="16923">
        <f>5*HLOOKUP("fsXG/90",A1:CV300,21,FALSE)+3*HLOOKUP("fsXA/90",A1:CV300,21,FALSE)</f>
      </c>
      <c r="BX21" t="n" s="16924">
        <v>0.0318572111427784</v>
      </c>
      <c r="BY21" t="n" s="16925">
        <v>0.12897998094558716</v>
      </c>
      <c r="BZ21" s="16926">
        <f>5*HLOOKUP("uXG/90",A1:CV300,21,FALSE)+3*HLOOKUP("uXA/90",A1:CV300,21,FALSE)</f>
      </c>
    </row>
    <row r="22">
      <c r="A22" t="s" s="16927">
        <v>313</v>
      </c>
      <c r="B22" t="s" s="16928">
        <v>109</v>
      </c>
      <c r="C22" t="n" s="16929">
        <v>5.0</v>
      </c>
      <c r="D22" t="n" s="16930">
        <v>260.0</v>
      </c>
      <c r="E22" t="n" s="16931">
        <v>5.0</v>
      </c>
      <c r="F22" t="n" s="16932">
        <v>13.0</v>
      </c>
      <c r="G22" t="n" s="16933">
        <v>0.0</v>
      </c>
      <c r="H22" t="n" s="16934">
        <v>0.0</v>
      </c>
      <c r="I22" t="n" s="16935">
        <v>65.0</v>
      </c>
      <c r="J22" s="16936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16937">
        <v>0.0</v>
      </c>
      <c r="L22" t="n" s="16938">
        <v>1.0</v>
      </c>
      <c r="M22" t="n" s="16939">
        <v>6.0</v>
      </c>
      <c r="N22" t="n" s="16940">
        <v>5.0</v>
      </c>
      <c r="O22" t="n" s="16941">
        <v>1.0</v>
      </c>
      <c r="P22" s="16942">
        <f>IF(HLOOKUP("Shots",A1:CV300,22,FALSE)=0,0,HLOOKUP("SIB",A1:CV300,22,FALSE)/HLOOKUP("Shots",A1:CV300,22,FALSE))</f>
      </c>
      <c r="Q22" t="n" s="16943">
        <v>0.0</v>
      </c>
      <c r="R22" s="16944">
        <f>IF(HLOOKUP("Shots",A1:CV300,22,FALSE)=0,0,HLOOKUP("S6YD",A1:CV300,22,FALSE)/HLOOKUP("Shots",A1:CV300,22,FALSE))</f>
      </c>
      <c r="S22" t="n" s="16945">
        <v>0.0</v>
      </c>
      <c r="T22" s="16946">
        <f>IF(HLOOKUP("Shots",A1:CV300,22,FALSE)=0,0,HLOOKUP("Headers",A1:CV300,22,FALSE)/HLOOKUP("Shots",A1:CV300,22,FALSE))</f>
      </c>
      <c r="U22" t="n" s="16947">
        <v>3.0</v>
      </c>
      <c r="V22" s="16948">
        <f>IF(HLOOKUP("Shots",A1:CV300,22,FALSE)=0,0,HLOOKUP("SOT",A1:CV300,22,FALSE)/HLOOKUP("Shots",A1:CV300,22,FALSE))</f>
      </c>
      <c r="W22" s="16949">
        <f>IF(HLOOKUP("Shots",A1:CV300,22,FALSE)=0,0,HLOOKUP("Gs",A1:CV300,22,FALSE)/HLOOKUP("Shots",A1:CV300,22,FALSE))</f>
      </c>
      <c r="X22" t="n" s="16950">
        <v>0.0</v>
      </c>
      <c r="Y22" t="n" s="16951">
        <v>0.0</v>
      </c>
      <c r="Z22" t="n" s="16952">
        <v>1.0</v>
      </c>
      <c r="AA22" s="16953">
        <f>IF(HLOOKUP("KP",A1:CV300,22,FALSE)=0,0,HLOOKUP("As",A1:CV300,22,FALSE)/HLOOKUP("KP",A1:CV300,22,FALSE))</f>
      </c>
      <c r="AB22" s="16954"/>
      <c r="AC22" t="n" s="16955">
        <v>0.0</v>
      </c>
      <c r="AD22" t="n" s="16956">
        <v>0.0</v>
      </c>
      <c r="AE22" t="n" s="16957">
        <v>0.0</v>
      </c>
      <c r="AF22" t="n" s="16958">
        <v>0.0</v>
      </c>
      <c r="AG22" s="16959">
        <f>IF(HLOOKUP("BC",A1:CV300,22,FALSE)=0,0,HLOOKUP("Gs - BC",A1:CV300,22,FALSE)/HLOOKUP("BC",A1:CV300,22,FALSE))</f>
      </c>
      <c r="AH22" s="16960">
        <f>HLOOKUP("BC",A1:CV300,22,FALSE) - HLOOKUP("BC Miss",A1:CV300,22,FALSE)</f>
      </c>
      <c r="AI22" s="16961">
        <f>IF(HLOOKUP("Gs",A1:CV300,22,FALSE)=0,0,HLOOKUP("Gs - BC",A1:CV300,22,FALSE)/HLOOKUP("Gs",A1:CV300,22,FALSE))</f>
      </c>
      <c r="AJ22" t="n" s="16962">
        <v>0.0</v>
      </c>
      <c r="AK22" t="n" s="16963">
        <v>0.0</v>
      </c>
      <c r="AL22" s="16964">
        <f>HLOOKUP("BC",A1:CV300,22,FALSE) - (HLOOKUP("PK Gs",A1:CV300,22,FALSE) + HLOOKUP("PK Miss",A1:CV300,22,FALSE))</f>
      </c>
      <c r="AM22" s="16965">
        <f>HLOOKUP("BC Miss",A1:CV300,22,FALSE) - HLOOKUP("PK Miss",A1:CV300,22,FALSE)</f>
      </c>
      <c r="AN22" s="16966">
        <f>IF(HLOOKUP("BC - Open",A1:CV300,22,FALSE)=0,0,HLOOKUP("BC - Open Miss",A1:CV300,22,FALSE)/HLOOKUP("BC - Open",A1:CV300,22,FALSE))</f>
      </c>
      <c r="AO22" t="n" s="16967">
        <v>0.0</v>
      </c>
      <c r="AP22" s="16968">
        <f>IF(HLOOKUP("Gs",A1:CV300,22,FALSE)=0,0,HLOOKUP("GIB",A1:CV300,22,FALSE)/HLOOKUP("Gs",A1:CV300,22,FALSE))</f>
      </c>
      <c r="AQ22" t="n" s="16969">
        <v>0.0</v>
      </c>
      <c r="AR22" s="16970">
        <f>IF(HLOOKUP("Gs",A1:CV300,22,FALSE)=0,0,HLOOKUP("Gs - Open",A1:CV300,22,FALSE)/HLOOKUP("Gs",A1:CV300,22,FALSE))</f>
      </c>
      <c r="AS22" t="n" s="16971">
        <v>0.13</v>
      </c>
      <c r="AT22" t="n" s="16972">
        <v>0.05</v>
      </c>
      <c r="AU22" s="16973">
        <f>IF(HLOOKUP("Mins",A1:CV300,22,FALSE)=0,0,HLOOKUP("Pts",A1:CV300,22,FALSE)/HLOOKUP("Mins",A1:CV300,22,FALSE)* 90)</f>
      </c>
      <c r="AV22" s="16974">
        <f>IF(HLOOKUP("Apps",A1:CV300,22,FALSE)=0,0,HLOOKUP("Pts",A1:CV300,22,FALSE)/HLOOKUP("Apps",A1:CV300,22,FALSE)* 1)</f>
      </c>
      <c r="AW22" s="16975">
        <f>IF(HLOOKUP("Mins",A1:CV300,22,FALSE)=0,0,HLOOKUP("Gs",A1:CV300,22,FALSE)/HLOOKUP("Mins",A1:CV300,22,FALSE)* 90)</f>
      </c>
      <c r="AX22" s="16976">
        <f>IF(HLOOKUP("Mins",A1:CV300,22,FALSE)=0,0,HLOOKUP("Bonus",A1:CV300,22,FALSE)/HLOOKUP("Mins",A1:CV300,22,FALSE)* 90)</f>
      </c>
      <c r="AY22" s="16977">
        <f>IF(HLOOKUP("Mins",A1:CV300,22,FALSE)=0,0,HLOOKUP("BPS",A1:CV300,22,FALSE)/HLOOKUP("Mins",A1:CV300,22,FALSE)* 90)</f>
      </c>
      <c r="AZ22" s="16978">
        <f>IF(HLOOKUP("Mins",A1:CV300,22,FALSE)=0,0,HLOOKUP("Base BPS",A1:CV300,22,FALSE)/HLOOKUP("Mins",A1:CV300,22,FALSE)* 90)</f>
      </c>
      <c r="BA22" s="16979">
        <f>IF(HLOOKUP("Mins",A1:CV300,22,FALSE)=0,0,HLOOKUP("PenTchs",A1:CV300,22,FALSE)/HLOOKUP("Mins",A1:CV300,22,FALSE)* 90)</f>
      </c>
      <c r="BB22" s="16980">
        <f>IF(HLOOKUP("Mins",A1:CV300,22,FALSE)=0,0,HLOOKUP("Shots",A1:CV300,22,FALSE)/HLOOKUP("Mins",A1:CV300,22,FALSE)* 90)</f>
      </c>
      <c r="BC22" s="16981">
        <f>IF(HLOOKUP("Mins",A1:CV300,22,FALSE)=0,0,HLOOKUP("SIB",A1:CV300,22,FALSE)/HLOOKUP("Mins",A1:CV300,22,FALSE)* 90)</f>
      </c>
      <c r="BD22" s="16982">
        <f>IF(HLOOKUP("Mins",A1:CV300,22,FALSE)=0,0,HLOOKUP("S6YD",A1:CV300,22,FALSE)/HLOOKUP("Mins",A1:CV300,22,FALSE)* 90)</f>
      </c>
      <c r="BE22" s="16983">
        <f>IF(HLOOKUP("Mins",A1:CV300,22,FALSE)=0,0,HLOOKUP("Headers",A1:CV300,22,FALSE)/HLOOKUP("Mins",A1:CV300,22,FALSE)* 90)</f>
      </c>
      <c r="BF22" s="16984">
        <f>IF(HLOOKUP("Mins",A1:CV300,22,FALSE)=0,0,HLOOKUP("SOT",A1:CV300,22,FALSE)/HLOOKUP("Mins",A1:CV300,22,FALSE)* 90)</f>
      </c>
      <c r="BG22" s="16985">
        <f>IF(HLOOKUP("Mins",A1:CV300,22,FALSE)=0,0,HLOOKUP("As",A1:CV300,22,FALSE)/HLOOKUP("Mins",A1:CV300,22,FALSE)* 90)</f>
      </c>
      <c r="BH22" s="16986">
        <f>IF(HLOOKUP("Mins",A1:CV300,22,FALSE)=0,0,HLOOKUP("FPL As",A1:CV300,22,FALSE)/HLOOKUP("Mins",A1:CV300,22,FALSE)* 90)</f>
      </c>
      <c r="BI22" s="16987">
        <f>IF(HLOOKUP("Mins",A1:CV300,22,FALSE)=0,0,HLOOKUP("BC Created",A1:CV300,22,FALSE)/HLOOKUP("Mins",A1:CV300,22,FALSE)* 90)</f>
      </c>
      <c r="BJ22" s="16988">
        <f>IF(HLOOKUP("Mins",A1:CV300,22,FALSE)=0,0,HLOOKUP("KP",A1:CV300,22,FALSE)/HLOOKUP("Mins",A1:CV300,22,FALSE)* 90)</f>
      </c>
      <c r="BK22" s="16989">
        <f>IF(HLOOKUP("Mins",A1:CV300,22,FALSE)=0,0,HLOOKUP("BC",A1:CV300,22,FALSE)/HLOOKUP("Mins",A1:CV300,22,FALSE)* 90)</f>
      </c>
      <c r="BL22" s="16990">
        <f>IF(HLOOKUP("Mins",A1:CV300,22,FALSE)=0,0,HLOOKUP("BC Miss",A1:CV300,22,FALSE)/HLOOKUP("Mins",A1:CV300,22,FALSE)* 90)</f>
      </c>
      <c r="BM22" s="16991">
        <f>IF(HLOOKUP("Mins",A1:CV300,22,FALSE)=0,0,HLOOKUP("Gs - BC",A1:CV300,22,FALSE)/HLOOKUP("Mins",A1:CV300,22,FALSE)* 90)</f>
      </c>
      <c r="BN22" s="16992">
        <f>IF(HLOOKUP("Mins",A1:CV300,22,FALSE)=0,0,HLOOKUP("GIB",A1:CV300,22,FALSE)/HLOOKUP("Mins",A1:CV300,22,FALSE)* 90)</f>
      </c>
      <c r="BO22" s="16993">
        <f>IF(HLOOKUP("Mins",A1:CV300,22,FALSE)=0,0,HLOOKUP("Gs - Open",A1:CV300,22,FALSE)/HLOOKUP("Mins",A1:CV300,22,FALSE)* 90)</f>
      </c>
      <c r="BP22" s="16994">
        <f>IF(HLOOKUP("Mins",A1:CV300,22,FALSE)=0,0,HLOOKUP("ICT Index",A1:CV300,22,FALSE)/HLOOKUP("Mins",A1:CV300,22,FALSE)* 90)</f>
      </c>
      <c r="BQ22" s="16995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16996">
        <f>0.0885*HLOOKUP("KP/90",A1:CV300,22,FALSE)</f>
      </c>
      <c r="BS22" s="16997">
        <f>5*HLOOKUP("xG/90",A1:CV300,22,FALSE)+3*HLOOKUP("xA/90",A1:CV300,22,FALSE)</f>
      </c>
      <c r="BT22" s="16998">
        <f>HLOOKUP("xPts/90",A1:CV300,22,FALSE)-(5*0.75*(HLOOKUP("PK Gs",A1:CV300,22,FALSE)+HLOOKUP("PK Miss",A1:CV300,22,FALSE))*90/HLOOKUP("Mins",A1:CV300,22,FALSE))</f>
      </c>
      <c r="BU22" s="16999">
        <f>IF(HLOOKUP("Mins",A1:CV300,22,FALSE)=0,0,HLOOKUP("fsXG",A1:CV300,22,FALSE)/HLOOKUP("Mins",A1:CV300,22,FALSE)* 90)</f>
      </c>
      <c r="BV22" s="17000">
        <f>IF(HLOOKUP("Mins",A1:CV300,22,FALSE)=0,0,HLOOKUP("fsXA",A1:CV300,22,FALSE)/HLOOKUP("Mins",A1:CV300,22,FALSE)* 90)</f>
      </c>
      <c r="BW22" s="17001">
        <f>5*HLOOKUP("fsXG/90",A1:CV300,22,FALSE)+3*HLOOKUP("fsXA/90",A1:CV300,22,FALSE)</f>
      </c>
      <c r="BX22" t="n" s="17002">
        <v>0.04747822880744934</v>
      </c>
      <c r="BY22" t="n" s="17003">
        <v>0.009295862168073654</v>
      </c>
      <c r="BZ22" s="17004">
        <f>5*HLOOKUP("uXG/90",A1:CV300,22,FALSE)+3*HLOOKUP("uXA/90",A1:CV300,22,FALSE)</f>
      </c>
    </row>
    <row r="23">
      <c r="A23" t="s" s="17005">
        <v>314</v>
      </c>
      <c r="B23" t="s" s="17006">
        <v>85</v>
      </c>
      <c r="C23" t="n" s="17007">
        <v>5.0</v>
      </c>
      <c r="D23" t="n" s="17008">
        <v>59.0</v>
      </c>
      <c r="E23" t="n" s="17009">
        <v>1.0</v>
      </c>
      <c r="F23" t="n" s="17010">
        <v>31.0</v>
      </c>
      <c r="G23" t="n" s="17011">
        <v>0.0</v>
      </c>
      <c r="H23" t="n" s="17012">
        <v>1.0</v>
      </c>
      <c r="I23" t="n" s="17013">
        <v>66.0</v>
      </c>
      <c r="J23" s="17014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17015">
        <v>0.0</v>
      </c>
      <c r="L23" t="n" s="17016">
        <v>2.0</v>
      </c>
      <c r="M23" t="n" s="17017">
        <v>1.0</v>
      </c>
      <c r="N23" t="n" s="17018">
        <v>0.0</v>
      </c>
      <c r="O23" t="n" s="17019">
        <v>0.0</v>
      </c>
      <c r="P23" s="17020">
        <f>IF(HLOOKUP("Shots",A1:CV300,23,FALSE)=0,0,HLOOKUP("SIB",A1:CV300,23,FALSE)/HLOOKUP("Shots",A1:CV300,23,FALSE))</f>
      </c>
      <c r="Q23" t="n" s="17021">
        <v>0.0</v>
      </c>
      <c r="R23" s="17022">
        <f>IF(HLOOKUP("Shots",A1:CV300,23,FALSE)=0,0,HLOOKUP("S6YD",A1:CV300,23,FALSE)/HLOOKUP("Shots",A1:CV300,23,FALSE))</f>
      </c>
      <c r="S23" t="n" s="17023">
        <v>0.0</v>
      </c>
      <c r="T23" s="17024">
        <f>IF(HLOOKUP("Shots",A1:CV300,23,FALSE)=0,0,HLOOKUP("Headers",A1:CV300,23,FALSE)/HLOOKUP("Shots",A1:CV300,23,FALSE))</f>
      </c>
      <c r="U23" t="n" s="17025">
        <v>0.0</v>
      </c>
      <c r="V23" s="17026">
        <f>IF(HLOOKUP("Shots",A1:CV300,23,FALSE)=0,0,HLOOKUP("SOT",A1:CV300,23,FALSE)/HLOOKUP("Shots",A1:CV300,23,FALSE))</f>
      </c>
      <c r="W23" s="17027">
        <f>IF(HLOOKUP("Shots",A1:CV300,23,FALSE)=0,0,HLOOKUP("Gs",A1:CV300,23,FALSE)/HLOOKUP("Shots",A1:CV300,23,FALSE))</f>
      </c>
      <c r="X23" t="n" s="17028">
        <v>0.0</v>
      </c>
      <c r="Y23" t="n" s="17029">
        <v>2.0</v>
      </c>
      <c r="Z23" t="n" s="17030">
        <v>1.0</v>
      </c>
      <c r="AA23" s="17031">
        <f>IF(HLOOKUP("KP",A1:CV300,23,FALSE)=0,0,HLOOKUP("As",A1:CV300,23,FALSE)/HLOOKUP("KP",A1:CV300,23,FALSE))</f>
      </c>
      <c r="AB23" s="17032"/>
      <c r="AC23" t="n" s="17033">
        <v>0.0</v>
      </c>
      <c r="AD23" t="n" s="17034">
        <v>1.0</v>
      </c>
      <c r="AE23" t="n" s="17035">
        <v>0.0</v>
      </c>
      <c r="AF23" t="n" s="17036">
        <v>0.0</v>
      </c>
      <c r="AG23" s="17037">
        <f>IF(HLOOKUP("BC",A1:CV300,23,FALSE)=0,0,HLOOKUP("Gs - BC",A1:CV300,23,FALSE)/HLOOKUP("BC",A1:CV300,23,FALSE))</f>
      </c>
      <c r="AH23" s="17038">
        <f>HLOOKUP("BC",A1:CV300,23,FALSE) - HLOOKUP("BC Miss",A1:CV300,23,FALSE)</f>
      </c>
      <c r="AI23" s="17039">
        <f>IF(HLOOKUP("Gs",A1:CV300,23,FALSE)=0,0,HLOOKUP("Gs - BC",A1:CV300,23,FALSE)/HLOOKUP("Gs",A1:CV300,23,FALSE))</f>
      </c>
      <c r="AJ23" t="n" s="17040">
        <v>0.0</v>
      </c>
      <c r="AK23" t="n" s="17041">
        <v>0.0</v>
      </c>
      <c r="AL23" s="17042">
        <f>HLOOKUP("BC",A1:CV300,23,FALSE) - (HLOOKUP("PK Gs",A1:CV300,23,FALSE) + HLOOKUP("PK Miss",A1:CV300,23,FALSE))</f>
      </c>
      <c r="AM23" s="17043">
        <f>HLOOKUP("BC Miss",A1:CV300,23,FALSE) - HLOOKUP("PK Miss",A1:CV300,23,FALSE)</f>
      </c>
      <c r="AN23" s="17044">
        <f>IF(HLOOKUP("BC - Open",A1:CV300,23,FALSE)=0,0,HLOOKUP("BC - Open Miss",A1:CV300,23,FALSE)/HLOOKUP("BC - Open",A1:CV300,23,FALSE))</f>
      </c>
      <c r="AO23" t="n" s="17045">
        <v>0.0</v>
      </c>
      <c r="AP23" s="17046">
        <f>IF(HLOOKUP("Gs",A1:CV300,23,FALSE)=0,0,HLOOKUP("GIB",A1:CV300,23,FALSE)/HLOOKUP("Gs",A1:CV300,23,FALSE))</f>
      </c>
      <c r="AQ23" t="n" s="17047">
        <v>0.0</v>
      </c>
      <c r="AR23" s="17048">
        <f>IF(HLOOKUP("Gs",A1:CV300,23,FALSE)=0,0,HLOOKUP("Gs - Open",A1:CV300,23,FALSE)/HLOOKUP("Gs",A1:CV300,23,FALSE))</f>
      </c>
      <c r="AS23" t="n" s="17049">
        <v>0.0</v>
      </c>
      <c r="AT23" t="n" s="17050">
        <v>0.13</v>
      </c>
      <c r="AU23" s="17051">
        <f>IF(HLOOKUP("Mins",A1:CV300,23,FALSE)=0,0,HLOOKUP("Pts",A1:CV300,23,FALSE)/HLOOKUP("Mins",A1:CV300,23,FALSE)* 90)</f>
      </c>
      <c r="AV23" s="17052">
        <f>IF(HLOOKUP("Apps",A1:CV300,23,FALSE)=0,0,HLOOKUP("Pts",A1:CV300,23,FALSE)/HLOOKUP("Apps",A1:CV300,23,FALSE)* 1)</f>
      </c>
      <c r="AW23" s="17053">
        <f>IF(HLOOKUP("Mins",A1:CV300,23,FALSE)=0,0,HLOOKUP("Gs",A1:CV300,23,FALSE)/HLOOKUP("Mins",A1:CV300,23,FALSE)* 90)</f>
      </c>
      <c r="AX23" s="17054">
        <f>IF(HLOOKUP("Mins",A1:CV300,23,FALSE)=0,0,HLOOKUP("Bonus",A1:CV300,23,FALSE)/HLOOKUP("Mins",A1:CV300,23,FALSE)* 90)</f>
      </c>
      <c r="AY23" s="17055">
        <f>IF(HLOOKUP("Mins",A1:CV300,23,FALSE)=0,0,HLOOKUP("BPS",A1:CV300,23,FALSE)/HLOOKUP("Mins",A1:CV300,23,FALSE)* 90)</f>
      </c>
      <c r="AZ23" s="17056">
        <f>IF(HLOOKUP("Mins",A1:CV300,23,FALSE)=0,0,HLOOKUP("Base BPS",A1:CV300,23,FALSE)/HLOOKUP("Mins",A1:CV300,23,FALSE)* 90)</f>
      </c>
      <c r="BA23" s="17057">
        <f>IF(HLOOKUP("Mins",A1:CV300,23,FALSE)=0,0,HLOOKUP("PenTchs",A1:CV300,23,FALSE)/HLOOKUP("Mins",A1:CV300,23,FALSE)* 90)</f>
      </c>
      <c r="BB23" s="17058">
        <f>IF(HLOOKUP("Mins",A1:CV300,23,FALSE)=0,0,HLOOKUP("Shots",A1:CV300,23,FALSE)/HLOOKUP("Mins",A1:CV300,23,FALSE)* 90)</f>
      </c>
      <c r="BC23" s="17059">
        <f>IF(HLOOKUP("Mins",A1:CV300,23,FALSE)=0,0,HLOOKUP("SIB",A1:CV300,23,FALSE)/HLOOKUP("Mins",A1:CV300,23,FALSE)* 90)</f>
      </c>
      <c r="BD23" s="17060">
        <f>IF(HLOOKUP("Mins",A1:CV300,23,FALSE)=0,0,HLOOKUP("S6YD",A1:CV300,23,FALSE)/HLOOKUP("Mins",A1:CV300,23,FALSE)* 90)</f>
      </c>
      <c r="BE23" s="17061">
        <f>IF(HLOOKUP("Mins",A1:CV300,23,FALSE)=0,0,HLOOKUP("Headers",A1:CV300,23,FALSE)/HLOOKUP("Mins",A1:CV300,23,FALSE)* 90)</f>
      </c>
      <c r="BF23" s="17062">
        <f>IF(HLOOKUP("Mins",A1:CV300,23,FALSE)=0,0,HLOOKUP("SOT",A1:CV300,23,FALSE)/HLOOKUP("Mins",A1:CV300,23,FALSE)* 90)</f>
      </c>
      <c r="BG23" s="17063">
        <f>IF(HLOOKUP("Mins",A1:CV300,23,FALSE)=0,0,HLOOKUP("As",A1:CV300,23,FALSE)/HLOOKUP("Mins",A1:CV300,23,FALSE)* 90)</f>
      </c>
      <c r="BH23" s="17064">
        <f>IF(HLOOKUP("Mins",A1:CV300,23,FALSE)=0,0,HLOOKUP("FPL As",A1:CV300,23,FALSE)/HLOOKUP("Mins",A1:CV300,23,FALSE)* 90)</f>
      </c>
      <c r="BI23" s="17065">
        <f>IF(HLOOKUP("Mins",A1:CV300,23,FALSE)=0,0,HLOOKUP("BC Created",A1:CV300,23,FALSE)/HLOOKUP("Mins",A1:CV300,23,FALSE)* 90)</f>
      </c>
      <c r="BJ23" s="17066">
        <f>IF(HLOOKUP("Mins",A1:CV300,23,FALSE)=0,0,HLOOKUP("KP",A1:CV300,23,FALSE)/HLOOKUP("Mins",A1:CV300,23,FALSE)* 90)</f>
      </c>
      <c r="BK23" s="17067">
        <f>IF(HLOOKUP("Mins",A1:CV300,23,FALSE)=0,0,HLOOKUP("BC",A1:CV300,23,FALSE)/HLOOKUP("Mins",A1:CV300,23,FALSE)* 90)</f>
      </c>
      <c r="BL23" s="17068">
        <f>IF(HLOOKUP("Mins",A1:CV300,23,FALSE)=0,0,HLOOKUP("BC Miss",A1:CV300,23,FALSE)/HLOOKUP("Mins",A1:CV300,23,FALSE)* 90)</f>
      </c>
      <c r="BM23" s="17069">
        <f>IF(HLOOKUP("Mins",A1:CV300,23,FALSE)=0,0,HLOOKUP("Gs - BC",A1:CV300,23,FALSE)/HLOOKUP("Mins",A1:CV300,23,FALSE)* 90)</f>
      </c>
      <c r="BN23" s="17070">
        <f>IF(HLOOKUP("Mins",A1:CV300,23,FALSE)=0,0,HLOOKUP("GIB",A1:CV300,23,FALSE)/HLOOKUP("Mins",A1:CV300,23,FALSE)* 90)</f>
      </c>
      <c r="BO23" s="17071">
        <f>IF(HLOOKUP("Mins",A1:CV300,23,FALSE)=0,0,HLOOKUP("Gs - Open",A1:CV300,23,FALSE)/HLOOKUP("Mins",A1:CV300,23,FALSE)* 90)</f>
      </c>
      <c r="BP23" s="17072">
        <f>IF(HLOOKUP("Mins",A1:CV300,23,FALSE)=0,0,HLOOKUP("ICT Index",A1:CV300,23,FALSE)/HLOOKUP("Mins",A1:CV300,23,FALSE)* 90)</f>
      </c>
      <c r="BQ23" s="17073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17074">
        <f>0.0885*HLOOKUP("KP/90",A1:CV300,23,FALSE)</f>
      </c>
      <c r="BS23" s="17075">
        <f>5*HLOOKUP("xG/90",A1:CV300,23,FALSE)+3*HLOOKUP("xA/90",A1:CV300,23,FALSE)</f>
      </c>
      <c r="BT23" s="17076">
        <f>HLOOKUP("xPts/90",A1:CV300,23,FALSE)-(5*0.75*(HLOOKUP("PK Gs",A1:CV300,23,FALSE)+HLOOKUP("PK Miss",A1:CV300,23,FALSE))*90/HLOOKUP("Mins",A1:CV300,23,FALSE))</f>
      </c>
      <c r="BU23" s="17077">
        <f>IF(HLOOKUP("Mins",A1:CV300,23,FALSE)=0,0,HLOOKUP("fsXG",A1:CV300,23,FALSE)/HLOOKUP("Mins",A1:CV300,23,FALSE)* 90)</f>
      </c>
      <c r="BV23" s="17078">
        <f>IF(HLOOKUP("Mins",A1:CV300,23,FALSE)=0,0,HLOOKUP("fsXA",A1:CV300,23,FALSE)/HLOOKUP("Mins",A1:CV300,23,FALSE)* 90)</f>
      </c>
      <c r="BW23" s="17079">
        <f>5*HLOOKUP("fsXG/90",A1:CV300,23,FALSE)+3*HLOOKUP("fsXA/90",A1:CV300,23,FALSE)</f>
      </c>
      <c r="BX23" t="n" s="17080">
        <v>0.0</v>
      </c>
      <c r="BY23" t="n" s="17081">
        <v>0.5626718401908875</v>
      </c>
      <c r="BZ23" s="17082">
        <f>5*HLOOKUP("uXG/90",A1:CV300,23,FALSE)+3*HLOOKUP("uXA/90",A1:CV300,23,FALSE)</f>
      </c>
    </row>
    <row r="24">
      <c r="A24" t="s" s="17083">
        <v>315</v>
      </c>
      <c r="B24" t="s" s="17084">
        <v>114</v>
      </c>
      <c r="C24" t="n" s="17085">
        <v>8.100000381469727</v>
      </c>
      <c r="D24" t="n" s="17086">
        <v>536.0</v>
      </c>
      <c r="E24" t="n" s="17087">
        <v>6.0</v>
      </c>
      <c r="F24" t="n" s="17088">
        <v>108.0</v>
      </c>
      <c r="G24" t="n" s="17089">
        <v>2.0</v>
      </c>
      <c r="H24" t="n" s="17090">
        <v>10.0</v>
      </c>
      <c r="I24" t="n" s="17091">
        <v>340.0</v>
      </c>
      <c r="J24" s="17092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17093">
        <v>0.0</v>
      </c>
      <c r="L24" t="n" s="17094">
        <v>6.0</v>
      </c>
      <c r="M24" t="n" s="17095">
        <v>33.0</v>
      </c>
      <c r="N24" t="n" s="17096">
        <v>14.0</v>
      </c>
      <c r="O24" t="n" s="17097">
        <v>9.0</v>
      </c>
      <c r="P24" s="17098">
        <f>IF(HLOOKUP("Shots",A1:CV300,24,FALSE)=0,0,HLOOKUP("SIB",A1:CV300,24,FALSE)/HLOOKUP("Shots",A1:CV300,24,FALSE))</f>
      </c>
      <c r="Q24" t="n" s="17099">
        <v>1.0</v>
      </c>
      <c r="R24" s="17100">
        <f>IF(HLOOKUP("Shots",A1:CV300,24,FALSE)=0,0,HLOOKUP("S6YD",A1:CV300,24,FALSE)/HLOOKUP("Shots",A1:CV300,24,FALSE))</f>
      </c>
      <c r="S24" t="n" s="17101">
        <v>1.0</v>
      </c>
      <c r="T24" s="17102">
        <f>IF(HLOOKUP("Shots",A1:CV300,24,FALSE)=0,0,HLOOKUP("Headers",A1:CV300,24,FALSE)/HLOOKUP("Shots",A1:CV300,24,FALSE))</f>
      </c>
      <c r="U24" t="n" s="17103">
        <v>6.0</v>
      </c>
      <c r="V24" s="17104">
        <f>IF(HLOOKUP("Shots",A1:CV300,24,FALSE)=0,0,HLOOKUP("SOT",A1:CV300,24,FALSE)/HLOOKUP("Shots",A1:CV300,24,FALSE))</f>
      </c>
      <c r="W24" s="17105">
        <f>IF(HLOOKUP("Shots",A1:CV300,24,FALSE)=0,0,HLOOKUP("Gs",A1:CV300,24,FALSE)/HLOOKUP("Shots",A1:CV300,24,FALSE))</f>
      </c>
      <c r="X24" t="n" s="17106">
        <v>1.0</v>
      </c>
      <c r="Y24" t="n" s="17107">
        <v>4.0</v>
      </c>
      <c r="Z24" t="n" s="17108">
        <v>8.0</v>
      </c>
      <c r="AA24" s="17109">
        <f>IF(HLOOKUP("KP",A1:CV300,24,FALSE)=0,0,HLOOKUP("As",A1:CV300,24,FALSE)/HLOOKUP("KP",A1:CV300,24,FALSE))</f>
      </c>
      <c r="AB24" s="17110"/>
      <c r="AC24" t="n" s="17111">
        <v>50.0</v>
      </c>
      <c r="AD24" t="n" s="17112">
        <v>2.0</v>
      </c>
      <c r="AE24" t="n" s="17113">
        <v>1.0</v>
      </c>
      <c r="AF24" t="n" s="17114">
        <v>0.0</v>
      </c>
      <c r="AG24" s="17115">
        <f>IF(HLOOKUP("BC",A1:CV300,24,FALSE)=0,0,HLOOKUP("Gs - BC",A1:CV300,24,FALSE)/HLOOKUP("BC",A1:CV300,24,FALSE))</f>
      </c>
      <c r="AH24" s="17116">
        <f>HLOOKUP("BC",A1:CV300,24,FALSE) - HLOOKUP("BC Miss",A1:CV300,24,FALSE)</f>
      </c>
      <c r="AI24" s="17117">
        <f>IF(HLOOKUP("Gs",A1:CV300,24,FALSE)=0,0,HLOOKUP("Gs - BC",A1:CV300,24,FALSE)/HLOOKUP("Gs",A1:CV300,24,FALSE))</f>
      </c>
      <c r="AJ24" t="n" s="17118">
        <v>0.0</v>
      </c>
      <c r="AK24" t="n" s="17119">
        <v>0.0</v>
      </c>
      <c r="AL24" s="17120">
        <f>HLOOKUP("BC",A1:CV300,24,FALSE) - (HLOOKUP("PK Gs",A1:CV300,24,FALSE) + HLOOKUP("PK Miss",A1:CV300,24,FALSE))</f>
      </c>
      <c r="AM24" s="17121">
        <f>HLOOKUP("BC Miss",A1:CV300,24,FALSE) - HLOOKUP("PK Miss",A1:CV300,24,FALSE)</f>
      </c>
      <c r="AN24" s="17122">
        <f>IF(HLOOKUP("BC - Open",A1:CV300,24,FALSE)=0,0,HLOOKUP("BC - Open Miss",A1:CV300,24,FALSE)/HLOOKUP("BC - Open",A1:CV300,24,FALSE))</f>
      </c>
      <c r="AO24" t="n" s="17123">
        <v>2.0</v>
      </c>
      <c r="AP24" s="17124">
        <f>IF(HLOOKUP("Gs",A1:CV300,24,FALSE)=0,0,HLOOKUP("GIB",A1:CV300,24,FALSE)/HLOOKUP("Gs",A1:CV300,24,FALSE))</f>
      </c>
      <c r="AQ24" t="n" s="17125">
        <v>2.0</v>
      </c>
      <c r="AR24" s="17126">
        <f>IF(HLOOKUP("Gs",A1:CV300,24,FALSE)=0,0,HLOOKUP("Gs - Open",A1:CV300,24,FALSE)/HLOOKUP("Gs",A1:CV300,24,FALSE))</f>
      </c>
      <c r="AS24" t="n" s="17127">
        <v>1.6</v>
      </c>
      <c r="AT24" t="n" s="17128">
        <v>1.03</v>
      </c>
      <c r="AU24" s="17129">
        <f>IF(HLOOKUP("Mins",A1:CV300,24,FALSE)=0,0,HLOOKUP("Pts",A1:CV300,24,FALSE)/HLOOKUP("Mins",A1:CV300,24,FALSE)* 90)</f>
      </c>
      <c r="AV24" s="17130">
        <f>IF(HLOOKUP("Apps",A1:CV300,24,FALSE)=0,0,HLOOKUP("Pts",A1:CV300,24,FALSE)/HLOOKUP("Apps",A1:CV300,24,FALSE)* 1)</f>
      </c>
      <c r="AW24" s="17131">
        <f>IF(HLOOKUP("Mins",A1:CV300,24,FALSE)=0,0,HLOOKUP("Gs",A1:CV300,24,FALSE)/HLOOKUP("Mins",A1:CV300,24,FALSE)* 90)</f>
      </c>
      <c r="AX24" s="17132">
        <f>IF(HLOOKUP("Mins",A1:CV300,24,FALSE)=0,0,HLOOKUP("Bonus",A1:CV300,24,FALSE)/HLOOKUP("Mins",A1:CV300,24,FALSE)* 90)</f>
      </c>
      <c r="AY24" s="17133">
        <f>IF(HLOOKUP("Mins",A1:CV300,24,FALSE)=0,0,HLOOKUP("BPS",A1:CV300,24,FALSE)/HLOOKUP("Mins",A1:CV300,24,FALSE)* 90)</f>
      </c>
      <c r="AZ24" s="17134">
        <f>IF(HLOOKUP("Mins",A1:CV300,24,FALSE)=0,0,HLOOKUP("Base BPS",A1:CV300,24,FALSE)/HLOOKUP("Mins",A1:CV300,24,FALSE)* 90)</f>
      </c>
      <c r="BA24" s="17135">
        <f>IF(HLOOKUP("Mins",A1:CV300,24,FALSE)=0,0,HLOOKUP("PenTchs",A1:CV300,24,FALSE)/HLOOKUP("Mins",A1:CV300,24,FALSE)* 90)</f>
      </c>
      <c r="BB24" s="17136">
        <f>IF(HLOOKUP("Mins",A1:CV300,24,FALSE)=0,0,HLOOKUP("Shots",A1:CV300,24,FALSE)/HLOOKUP("Mins",A1:CV300,24,FALSE)* 90)</f>
      </c>
      <c r="BC24" s="17137">
        <f>IF(HLOOKUP("Mins",A1:CV300,24,FALSE)=0,0,HLOOKUP("SIB",A1:CV300,24,FALSE)/HLOOKUP("Mins",A1:CV300,24,FALSE)* 90)</f>
      </c>
      <c r="BD24" s="17138">
        <f>IF(HLOOKUP("Mins",A1:CV300,24,FALSE)=0,0,HLOOKUP("S6YD",A1:CV300,24,FALSE)/HLOOKUP("Mins",A1:CV300,24,FALSE)* 90)</f>
      </c>
      <c r="BE24" s="17139">
        <f>IF(HLOOKUP("Mins",A1:CV300,24,FALSE)=0,0,HLOOKUP("Headers",A1:CV300,24,FALSE)/HLOOKUP("Mins",A1:CV300,24,FALSE)* 90)</f>
      </c>
      <c r="BF24" s="17140">
        <f>IF(HLOOKUP("Mins",A1:CV300,24,FALSE)=0,0,HLOOKUP("SOT",A1:CV300,24,FALSE)/HLOOKUP("Mins",A1:CV300,24,FALSE)* 90)</f>
      </c>
      <c r="BG24" s="17141">
        <f>IF(HLOOKUP("Mins",A1:CV300,24,FALSE)=0,0,HLOOKUP("As",A1:CV300,24,FALSE)/HLOOKUP("Mins",A1:CV300,24,FALSE)* 90)</f>
      </c>
      <c r="BH24" s="17142">
        <f>IF(HLOOKUP("Mins",A1:CV300,24,FALSE)=0,0,HLOOKUP("FPL As",A1:CV300,24,FALSE)/HLOOKUP("Mins",A1:CV300,24,FALSE)* 90)</f>
      </c>
      <c r="BI24" s="17143">
        <f>IF(HLOOKUP("Mins",A1:CV300,24,FALSE)=0,0,HLOOKUP("BC Created",A1:CV300,24,FALSE)/HLOOKUP("Mins",A1:CV300,24,FALSE)* 90)</f>
      </c>
      <c r="BJ24" s="17144">
        <f>IF(HLOOKUP("Mins",A1:CV300,24,FALSE)=0,0,HLOOKUP("KP",A1:CV300,24,FALSE)/HLOOKUP("Mins",A1:CV300,24,FALSE)* 90)</f>
      </c>
      <c r="BK24" s="17145">
        <f>IF(HLOOKUP("Mins",A1:CV300,24,FALSE)=0,0,HLOOKUP("BC",A1:CV300,24,FALSE)/HLOOKUP("Mins",A1:CV300,24,FALSE)* 90)</f>
      </c>
      <c r="BL24" s="17146">
        <f>IF(HLOOKUP("Mins",A1:CV300,24,FALSE)=0,0,HLOOKUP("BC Miss",A1:CV300,24,FALSE)/HLOOKUP("Mins",A1:CV300,24,FALSE)* 90)</f>
      </c>
      <c r="BM24" s="17147">
        <f>IF(HLOOKUP("Mins",A1:CV300,24,FALSE)=0,0,HLOOKUP("Gs - BC",A1:CV300,24,FALSE)/HLOOKUP("Mins",A1:CV300,24,FALSE)* 90)</f>
      </c>
      <c r="BN24" s="17148">
        <f>IF(HLOOKUP("Mins",A1:CV300,24,FALSE)=0,0,HLOOKUP("GIB",A1:CV300,24,FALSE)/HLOOKUP("Mins",A1:CV300,24,FALSE)* 90)</f>
      </c>
      <c r="BO24" s="17149">
        <f>IF(HLOOKUP("Mins",A1:CV300,24,FALSE)=0,0,HLOOKUP("Gs - Open",A1:CV300,24,FALSE)/HLOOKUP("Mins",A1:CV300,24,FALSE)* 90)</f>
      </c>
      <c r="BP24" s="17150">
        <f>IF(HLOOKUP("Mins",A1:CV300,24,FALSE)=0,0,HLOOKUP("ICT Index",A1:CV300,24,FALSE)/HLOOKUP("Mins",A1:CV300,24,FALSE)* 90)</f>
      </c>
      <c r="BQ24" s="17151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17152">
        <f>0.0885*HLOOKUP("KP/90",A1:CV300,24,FALSE)</f>
      </c>
      <c r="BS24" s="17153">
        <f>5*HLOOKUP("xG/90",A1:CV300,24,FALSE)+3*HLOOKUP("xA/90",A1:CV300,24,FALSE)</f>
      </c>
      <c r="BT24" s="17154">
        <f>HLOOKUP("xPts/90",A1:CV300,24,FALSE)-(5*0.75*(HLOOKUP("PK Gs",A1:CV300,24,FALSE)+HLOOKUP("PK Miss",A1:CV300,24,FALSE))*90/HLOOKUP("Mins",A1:CV300,24,FALSE))</f>
      </c>
      <c r="BU24" s="17155">
        <f>IF(HLOOKUP("Mins",A1:CV300,24,FALSE)=0,0,HLOOKUP("fsXG",A1:CV300,24,FALSE)/HLOOKUP("Mins",A1:CV300,24,FALSE)* 90)</f>
      </c>
      <c r="BV24" s="17156">
        <f>IF(HLOOKUP("Mins",A1:CV300,24,FALSE)=0,0,HLOOKUP("fsXA",A1:CV300,24,FALSE)/HLOOKUP("Mins",A1:CV300,24,FALSE)* 90)</f>
      </c>
      <c r="BW24" s="17157">
        <f>5*HLOOKUP("fsXG/90",A1:CV300,24,FALSE)+3*HLOOKUP("fsXA/90",A1:CV300,24,FALSE)</f>
      </c>
      <c r="BX24" t="n" s="17158">
        <v>0.22631214559078217</v>
      </c>
      <c r="BY24" t="n" s="17159">
        <v>0.1986972540616989</v>
      </c>
      <c r="BZ24" s="17160">
        <f>5*HLOOKUP("uXG/90",A1:CV300,24,FALSE)+3*HLOOKUP("uXA/90",A1:CV300,24,FALSE)</f>
      </c>
    </row>
    <row r="25">
      <c r="A25" t="s" s="17161">
        <v>316</v>
      </c>
      <c r="B25" t="s" s="17162">
        <v>98</v>
      </c>
      <c r="C25" t="n" s="17163">
        <v>5.5</v>
      </c>
      <c r="D25" t="n" s="17164">
        <v>78.0</v>
      </c>
      <c r="E25" t="n" s="17165">
        <v>2.0</v>
      </c>
      <c r="F25" t="n" s="17166">
        <v>27.0</v>
      </c>
      <c r="G25" t="n" s="17167">
        <v>0.0</v>
      </c>
      <c r="H25" t="n" s="17168">
        <v>0.0</v>
      </c>
      <c r="I25" t="n" s="17169">
        <v>78.0</v>
      </c>
      <c r="J25" s="17170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17171">
        <v>0.0</v>
      </c>
      <c r="L25" t="n" s="17172">
        <v>1.0</v>
      </c>
      <c r="M25" t="n" s="17173">
        <v>4.0</v>
      </c>
      <c r="N25" t="n" s="17174">
        <v>0.0</v>
      </c>
      <c r="O25" t="n" s="17175">
        <v>0.0</v>
      </c>
      <c r="P25" s="17176">
        <f>IF(HLOOKUP("Shots",A1:CV300,25,FALSE)=0,0,HLOOKUP("SIB",A1:CV300,25,FALSE)/HLOOKUP("Shots",A1:CV300,25,FALSE))</f>
      </c>
      <c r="Q25" t="n" s="17177">
        <v>0.0</v>
      </c>
      <c r="R25" s="17178">
        <f>IF(HLOOKUP("Shots",A1:CV300,25,FALSE)=0,0,HLOOKUP("S6YD",A1:CV300,25,FALSE)/HLOOKUP("Shots",A1:CV300,25,FALSE))</f>
      </c>
      <c r="S25" t="n" s="17179">
        <v>0.0</v>
      </c>
      <c r="T25" s="17180">
        <f>IF(HLOOKUP("Shots",A1:CV300,25,FALSE)=0,0,HLOOKUP("Headers",A1:CV300,25,FALSE)/HLOOKUP("Shots",A1:CV300,25,FALSE))</f>
      </c>
      <c r="U25" t="n" s="17181">
        <v>0.0</v>
      </c>
      <c r="V25" s="17182">
        <f>IF(HLOOKUP("Shots",A1:CV300,25,FALSE)=0,0,HLOOKUP("SOT",A1:CV300,25,FALSE)/HLOOKUP("Shots",A1:CV300,25,FALSE))</f>
      </c>
      <c r="W25" s="17183">
        <f>IF(HLOOKUP("Shots",A1:CV300,25,FALSE)=0,0,HLOOKUP("Gs",A1:CV300,25,FALSE)/HLOOKUP("Shots",A1:CV300,25,FALSE))</f>
      </c>
      <c r="X25" t="n" s="17184">
        <v>0.0</v>
      </c>
      <c r="Y25" t="n" s="17185">
        <v>3.0</v>
      </c>
      <c r="Z25" t="n" s="17186">
        <v>0.0</v>
      </c>
      <c r="AA25" s="17187">
        <f>IF(HLOOKUP("KP",A1:CV300,25,FALSE)=0,0,HLOOKUP("As",A1:CV300,25,FALSE)/HLOOKUP("KP",A1:CV300,25,FALSE))</f>
      </c>
      <c r="AB25" s="17188"/>
      <c r="AC25" t="n" s="17189">
        <v>0.0</v>
      </c>
      <c r="AD25" t="n" s="17190">
        <v>0.0</v>
      </c>
      <c r="AE25" t="n" s="17191">
        <v>0.0</v>
      </c>
      <c r="AF25" t="n" s="17192">
        <v>0.0</v>
      </c>
      <c r="AG25" s="17193">
        <f>IF(HLOOKUP("BC",A1:CV300,25,FALSE)=0,0,HLOOKUP("Gs - BC",A1:CV300,25,FALSE)/HLOOKUP("BC",A1:CV300,25,FALSE))</f>
      </c>
      <c r="AH25" s="17194">
        <f>HLOOKUP("BC",A1:CV300,25,FALSE) - HLOOKUP("BC Miss",A1:CV300,25,FALSE)</f>
      </c>
      <c r="AI25" s="17195">
        <f>IF(HLOOKUP("Gs",A1:CV300,25,FALSE)=0,0,HLOOKUP("Gs - BC",A1:CV300,25,FALSE)/HLOOKUP("Gs",A1:CV300,25,FALSE))</f>
      </c>
      <c r="AJ25" t="n" s="17196">
        <v>0.0</v>
      </c>
      <c r="AK25" t="n" s="17197">
        <v>0.0</v>
      </c>
      <c r="AL25" s="17198">
        <f>HLOOKUP("BC",A1:CV300,25,FALSE) - (HLOOKUP("PK Gs",A1:CV300,25,FALSE) + HLOOKUP("PK Miss",A1:CV300,25,FALSE))</f>
      </c>
      <c r="AM25" s="17199">
        <f>HLOOKUP("BC Miss",A1:CV300,25,FALSE) - HLOOKUP("PK Miss",A1:CV300,25,FALSE)</f>
      </c>
      <c r="AN25" s="17200">
        <f>IF(HLOOKUP("BC - Open",A1:CV300,25,FALSE)=0,0,HLOOKUP("BC - Open Miss",A1:CV300,25,FALSE)/HLOOKUP("BC - Open",A1:CV300,25,FALSE))</f>
      </c>
      <c r="AO25" t="n" s="17201">
        <v>0.0</v>
      </c>
      <c r="AP25" s="17202">
        <f>IF(HLOOKUP("Gs",A1:CV300,25,FALSE)=0,0,HLOOKUP("GIB",A1:CV300,25,FALSE)/HLOOKUP("Gs",A1:CV300,25,FALSE))</f>
      </c>
      <c r="AQ25" t="n" s="17203">
        <v>0.0</v>
      </c>
      <c r="AR25" s="17204">
        <f>IF(HLOOKUP("Gs",A1:CV300,25,FALSE)=0,0,HLOOKUP("Gs - Open",A1:CV300,25,FALSE)/HLOOKUP("Gs",A1:CV300,25,FALSE))</f>
      </c>
      <c r="AS25" t="n" s="17205">
        <v>0.0</v>
      </c>
      <c r="AT25" t="n" s="17206">
        <v>0.02</v>
      </c>
      <c r="AU25" s="17207">
        <f>IF(HLOOKUP("Mins",A1:CV300,25,FALSE)=0,0,HLOOKUP("Pts",A1:CV300,25,FALSE)/HLOOKUP("Mins",A1:CV300,25,FALSE)* 90)</f>
      </c>
      <c r="AV25" s="17208">
        <f>IF(HLOOKUP("Apps",A1:CV300,25,FALSE)=0,0,HLOOKUP("Pts",A1:CV300,25,FALSE)/HLOOKUP("Apps",A1:CV300,25,FALSE)* 1)</f>
      </c>
      <c r="AW25" s="17209">
        <f>IF(HLOOKUP("Mins",A1:CV300,25,FALSE)=0,0,HLOOKUP("Gs",A1:CV300,25,FALSE)/HLOOKUP("Mins",A1:CV300,25,FALSE)* 90)</f>
      </c>
      <c r="AX25" s="17210">
        <f>IF(HLOOKUP("Mins",A1:CV300,25,FALSE)=0,0,HLOOKUP("Bonus",A1:CV300,25,FALSE)/HLOOKUP("Mins",A1:CV300,25,FALSE)* 90)</f>
      </c>
      <c r="AY25" s="17211">
        <f>IF(HLOOKUP("Mins",A1:CV300,25,FALSE)=0,0,HLOOKUP("BPS",A1:CV300,25,FALSE)/HLOOKUP("Mins",A1:CV300,25,FALSE)* 90)</f>
      </c>
      <c r="AZ25" s="17212">
        <f>IF(HLOOKUP("Mins",A1:CV300,25,FALSE)=0,0,HLOOKUP("Base BPS",A1:CV300,25,FALSE)/HLOOKUP("Mins",A1:CV300,25,FALSE)* 90)</f>
      </c>
      <c r="BA25" s="17213">
        <f>IF(HLOOKUP("Mins",A1:CV300,25,FALSE)=0,0,HLOOKUP("PenTchs",A1:CV300,25,FALSE)/HLOOKUP("Mins",A1:CV300,25,FALSE)* 90)</f>
      </c>
      <c r="BB25" s="17214">
        <f>IF(HLOOKUP("Mins",A1:CV300,25,FALSE)=0,0,HLOOKUP("Shots",A1:CV300,25,FALSE)/HLOOKUP("Mins",A1:CV300,25,FALSE)* 90)</f>
      </c>
      <c r="BC25" s="17215">
        <f>IF(HLOOKUP("Mins",A1:CV300,25,FALSE)=0,0,HLOOKUP("SIB",A1:CV300,25,FALSE)/HLOOKUP("Mins",A1:CV300,25,FALSE)* 90)</f>
      </c>
      <c r="BD25" s="17216">
        <f>IF(HLOOKUP("Mins",A1:CV300,25,FALSE)=0,0,HLOOKUP("S6YD",A1:CV300,25,FALSE)/HLOOKUP("Mins",A1:CV300,25,FALSE)* 90)</f>
      </c>
      <c r="BE25" s="17217">
        <f>IF(HLOOKUP("Mins",A1:CV300,25,FALSE)=0,0,HLOOKUP("Headers",A1:CV300,25,FALSE)/HLOOKUP("Mins",A1:CV300,25,FALSE)* 90)</f>
      </c>
      <c r="BF25" s="17218">
        <f>IF(HLOOKUP("Mins",A1:CV300,25,FALSE)=0,0,HLOOKUP("SOT",A1:CV300,25,FALSE)/HLOOKUP("Mins",A1:CV300,25,FALSE)* 90)</f>
      </c>
      <c r="BG25" s="17219">
        <f>IF(HLOOKUP("Mins",A1:CV300,25,FALSE)=0,0,HLOOKUP("As",A1:CV300,25,FALSE)/HLOOKUP("Mins",A1:CV300,25,FALSE)* 90)</f>
      </c>
      <c r="BH25" s="17220">
        <f>IF(HLOOKUP("Mins",A1:CV300,25,FALSE)=0,0,HLOOKUP("FPL As",A1:CV300,25,FALSE)/HLOOKUP("Mins",A1:CV300,25,FALSE)* 90)</f>
      </c>
      <c r="BI25" s="17221">
        <f>IF(HLOOKUP("Mins",A1:CV300,25,FALSE)=0,0,HLOOKUP("BC Created",A1:CV300,25,FALSE)/HLOOKUP("Mins",A1:CV300,25,FALSE)* 90)</f>
      </c>
      <c r="BJ25" s="17222">
        <f>IF(HLOOKUP("Mins",A1:CV300,25,FALSE)=0,0,HLOOKUP("KP",A1:CV300,25,FALSE)/HLOOKUP("Mins",A1:CV300,25,FALSE)* 90)</f>
      </c>
      <c r="BK25" s="17223">
        <f>IF(HLOOKUP("Mins",A1:CV300,25,FALSE)=0,0,HLOOKUP("BC",A1:CV300,25,FALSE)/HLOOKUP("Mins",A1:CV300,25,FALSE)* 90)</f>
      </c>
      <c r="BL25" s="17224">
        <f>IF(HLOOKUP("Mins",A1:CV300,25,FALSE)=0,0,HLOOKUP("BC Miss",A1:CV300,25,FALSE)/HLOOKUP("Mins",A1:CV300,25,FALSE)* 90)</f>
      </c>
      <c r="BM25" s="17225">
        <f>IF(HLOOKUP("Mins",A1:CV300,25,FALSE)=0,0,HLOOKUP("Gs - BC",A1:CV300,25,FALSE)/HLOOKUP("Mins",A1:CV300,25,FALSE)* 90)</f>
      </c>
      <c r="BN25" s="17226">
        <f>IF(HLOOKUP("Mins",A1:CV300,25,FALSE)=0,0,HLOOKUP("GIB",A1:CV300,25,FALSE)/HLOOKUP("Mins",A1:CV300,25,FALSE)* 90)</f>
      </c>
      <c r="BO25" s="17227">
        <f>IF(HLOOKUP("Mins",A1:CV300,25,FALSE)=0,0,HLOOKUP("Gs - Open",A1:CV300,25,FALSE)/HLOOKUP("Mins",A1:CV300,25,FALSE)* 90)</f>
      </c>
      <c r="BP25" s="17228">
        <f>IF(HLOOKUP("Mins",A1:CV300,25,FALSE)=0,0,HLOOKUP("ICT Index",A1:CV300,25,FALSE)/HLOOKUP("Mins",A1:CV300,25,FALSE)* 90)</f>
      </c>
      <c r="BQ25" s="17229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17230">
        <f>0.0885*HLOOKUP("KP/90",A1:CV300,25,FALSE)</f>
      </c>
      <c r="BS25" s="17231">
        <f>5*HLOOKUP("xG/90",A1:CV300,25,FALSE)+3*HLOOKUP("xA/90",A1:CV300,25,FALSE)</f>
      </c>
      <c r="BT25" s="17232">
        <f>HLOOKUP("xPts/90",A1:CV300,25,FALSE)-(5*0.75*(HLOOKUP("PK Gs",A1:CV300,25,FALSE)+HLOOKUP("PK Miss",A1:CV300,25,FALSE))*90/HLOOKUP("Mins",A1:CV300,25,FALSE))</f>
      </c>
      <c r="BU25" s="17233">
        <f>IF(HLOOKUP("Mins",A1:CV300,25,FALSE)=0,0,HLOOKUP("fsXG",A1:CV300,25,FALSE)/HLOOKUP("Mins",A1:CV300,25,FALSE)* 90)</f>
      </c>
      <c r="BV25" s="17234">
        <f>IF(HLOOKUP("Mins",A1:CV300,25,FALSE)=0,0,HLOOKUP("fsXA",A1:CV300,25,FALSE)/HLOOKUP("Mins",A1:CV300,25,FALSE)* 90)</f>
      </c>
      <c r="BW25" s="17235">
        <f>5*HLOOKUP("fsXG/90",A1:CV300,25,FALSE)+3*HLOOKUP("fsXA/90",A1:CV300,25,FALSE)</f>
      </c>
      <c r="BX25" t="n" s="17236">
        <v>0.0</v>
      </c>
      <c r="BY25" t="n" s="17237">
        <v>0.0</v>
      </c>
      <c r="BZ25" s="17238">
        <f>5*HLOOKUP("uXG/90",A1:CV300,25,FALSE)+3*HLOOKUP("uXA/90",A1:CV300,25,FALSE)</f>
      </c>
    </row>
    <row r="26">
      <c r="A26" t="s" s="17239">
        <v>317</v>
      </c>
      <c r="B26" t="s" s="17240">
        <v>114</v>
      </c>
      <c r="C26" t="n" s="17241">
        <v>7.300000190734863</v>
      </c>
      <c r="D26" t="n" s="17242">
        <v>426.0</v>
      </c>
      <c r="E26" t="n" s="17243">
        <v>5.0</v>
      </c>
      <c r="F26" t="n" s="17244">
        <v>55.0</v>
      </c>
      <c r="G26" t="n" s="17245">
        <v>0.0</v>
      </c>
      <c r="H26" t="n" s="17246">
        <v>2.0</v>
      </c>
      <c r="I26" t="n" s="17247">
        <v>255.0</v>
      </c>
      <c r="J26" s="17248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17249">
        <v>0.0</v>
      </c>
      <c r="L26" t="n" s="17250">
        <v>5.0</v>
      </c>
      <c r="M26" t="n" s="17251">
        <v>1.0</v>
      </c>
      <c r="N26" t="n" s="17252">
        <v>6.0</v>
      </c>
      <c r="O26" t="n" s="17253">
        <v>0.0</v>
      </c>
      <c r="P26" s="17254">
        <f>IF(HLOOKUP("Shots",A1:CV300,26,FALSE)=0,0,HLOOKUP("SIB",A1:CV300,26,FALSE)/HLOOKUP("Shots",A1:CV300,26,FALSE))</f>
      </c>
      <c r="Q26" t="n" s="17255">
        <v>0.0</v>
      </c>
      <c r="R26" s="17256">
        <f>IF(HLOOKUP("Shots",A1:CV300,26,FALSE)=0,0,HLOOKUP("S6YD",A1:CV300,26,FALSE)/HLOOKUP("Shots",A1:CV300,26,FALSE))</f>
      </c>
      <c r="S26" t="n" s="17257">
        <v>0.0</v>
      </c>
      <c r="T26" s="17258">
        <f>IF(HLOOKUP("Shots",A1:CV300,26,FALSE)=0,0,HLOOKUP("Headers",A1:CV300,26,FALSE)/HLOOKUP("Shots",A1:CV300,26,FALSE))</f>
      </c>
      <c r="U26" t="n" s="17259">
        <v>0.0</v>
      </c>
      <c r="V26" s="17260">
        <f>IF(HLOOKUP("Shots",A1:CV300,26,FALSE)=0,0,HLOOKUP("SOT",A1:CV300,26,FALSE)/HLOOKUP("Shots",A1:CV300,26,FALSE))</f>
      </c>
      <c r="W26" s="17261">
        <f>IF(HLOOKUP("Shots",A1:CV300,26,FALSE)=0,0,HLOOKUP("Gs",A1:CV300,26,FALSE)/HLOOKUP("Shots",A1:CV300,26,FALSE))</f>
      </c>
      <c r="X26" t="n" s="17262">
        <v>0.0</v>
      </c>
      <c r="Y26" t="n" s="17263">
        <v>2.0</v>
      </c>
      <c r="Z26" t="n" s="17264">
        <v>10.0</v>
      </c>
      <c r="AA26" s="17265">
        <f>IF(HLOOKUP("KP",A1:CV300,26,FALSE)=0,0,HLOOKUP("As",A1:CV300,26,FALSE)/HLOOKUP("KP",A1:CV300,26,FALSE))</f>
      </c>
      <c r="AB26" s="17266"/>
      <c r="AC26" t="n" s="17267">
        <v>25.0</v>
      </c>
      <c r="AD26" t="n" s="17268">
        <v>0.0</v>
      </c>
      <c r="AE26" t="n" s="17269">
        <v>0.0</v>
      </c>
      <c r="AF26" t="n" s="17270">
        <v>0.0</v>
      </c>
      <c r="AG26" s="17271">
        <f>IF(HLOOKUP("BC",A1:CV300,26,FALSE)=0,0,HLOOKUP("Gs - BC",A1:CV300,26,FALSE)/HLOOKUP("BC",A1:CV300,26,FALSE))</f>
      </c>
      <c r="AH26" s="17272">
        <f>HLOOKUP("BC",A1:CV300,26,FALSE) - HLOOKUP("BC Miss",A1:CV300,26,FALSE)</f>
      </c>
      <c r="AI26" s="17273">
        <f>IF(HLOOKUP("Gs",A1:CV300,26,FALSE)=0,0,HLOOKUP("Gs - BC",A1:CV300,26,FALSE)/HLOOKUP("Gs",A1:CV300,26,FALSE))</f>
      </c>
      <c r="AJ26" t="n" s="17274">
        <v>0.0</v>
      </c>
      <c r="AK26" t="n" s="17275">
        <v>0.0</v>
      </c>
      <c r="AL26" s="17276">
        <f>HLOOKUP("BC",A1:CV300,26,FALSE) - (HLOOKUP("PK Gs",A1:CV300,26,FALSE) + HLOOKUP("PK Miss",A1:CV300,26,FALSE))</f>
      </c>
      <c r="AM26" s="17277">
        <f>HLOOKUP("BC Miss",A1:CV300,26,FALSE) - HLOOKUP("PK Miss",A1:CV300,26,FALSE)</f>
      </c>
      <c r="AN26" s="17278">
        <f>IF(HLOOKUP("BC - Open",A1:CV300,26,FALSE)=0,0,HLOOKUP("BC - Open Miss",A1:CV300,26,FALSE)/HLOOKUP("BC - Open",A1:CV300,26,FALSE))</f>
      </c>
      <c r="AO26" t="n" s="17279">
        <v>0.0</v>
      </c>
      <c r="AP26" s="17280">
        <f>IF(HLOOKUP("Gs",A1:CV300,26,FALSE)=0,0,HLOOKUP("GIB",A1:CV300,26,FALSE)/HLOOKUP("Gs",A1:CV300,26,FALSE))</f>
      </c>
      <c r="AQ26" t="n" s="17281">
        <v>0.0</v>
      </c>
      <c r="AR26" s="17282">
        <f>IF(HLOOKUP("Gs",A1:CV300,26,FALSE)=0,0,HLOOKUP("Gs - Open",A1:CV300,26,FALSE)/HLOOKUP("Gs",A1:CV300,26,FALSE))</f>
      </c>
      <c r="AS26" t="n" s="17283">
        <v>0.26</v>
      </c>
      <c r="AT26" t="n" s="17284">
        <v>0.71</v>
      </c>
      <c r="AU26" s="17285">
        <f>IF(HLOOKUP("Mins",A1:CV300,26,FALSE)=0,0,HLOOKUP("Pts",A1:CV300,26,FALSE)/HLOOKUP("Mins",A1:CV300,26,FALSE)* 90)</f>
      </c>
      <c r="AV26" s="17286">
        <f>IF(HLOOKUP("Apps",A1:CV300,26,FALSE)=0,0,HLOOKUP("Pts",A1:CV300,26,FALSE)/HLOOKUP("Apps",A1:CV300,26,FALSE)* 1)</f>
      </c>
      <c r="AW26" s="17287">
        <f>IF(HLOOKUP("Mins",A1:CV300,26,FALSE)=0,0,HLOOKUP("Gs",A1:CV300,26,FALSE)/HLOOKUP("Mins",A1:CV300,26,FALSE)* 90)</f>
      </c>
      <c r="AX26" s="17288">
        <f>IF(HLOOKUP("Mins",A1:CV300,26,FALSE)=0,0,HLOOKUP("Bonus",A1:CV300,26,FALSE)/HLOOKUP("Mins",A1:CV300,26,FALSE)* 90)</f>
      </c>
      <c r="AY26" s="17289">
        <f>IF(HLOOKUP("Mins",A1:CV300,26,FALSE)=0,0,HLOOKUP("BPS",A1:CV300,26,FALSE)/HLOOKUP("Mins",A1:CV300,26,FALSE)* 90)</f>
      </c>
      <c r="AZ26" s="17290">
        <f>IF(HLOOKUP("Mins",A1:CV300,26,FALSE)=0,0,HLOOKUP("Base BPS",A1:CV300,26,FALSE)/HLOOKUP("Mins",A1:CV300,26,FALSE)* 90)</f>
      </c>
      <c r="BA26" s="17291">
        <f>IF(HLOOKUP("Mins",A1:CV300,26,FALSE)=0,0,HLOOKUP("PenTchs",A1:CV300,26,FALSE)/HLOOKUP("Mins",A1:CV300,26,FALSE)* 90)</f>
      </c>
      <c r="BB26" s="17292">
        <f>IF(HLOOKUP("Mins",A1:CV300,26,FALSE)=0,0,HLOOKUP("Shots",A1:CV300,26,FALSE)/HLOOKUP("Mins",A1:CV300,26,FALSE)* 90)</f>
      </c>
      <c r="BC26" s="17293">
        <f>IF(HLOOKUP("Mins",A1:CV300,26,FALSE)=0,0,HLOOKUP("SIB",A1:CV300,26,FALSE)/HLOOKUP("Mins",A1:CV300,26,FALSE)* 90)</f>
      </c>
      <c r="BD26" s="17294">
        <f>IF(HLOOKUP("Mins",A1:CV300,26,FALSE)=0,0,HLOOKUP("S6YD",A1:CV300,26,FALSE)/HLOOKUP("Mins",A1:CV300,26,FALSE)* 90)</f>
      </c>
      <c r="BE26" s="17295">
        <f>IF(HLOOKUP("Mins",A1:CV300,26,FALSE)=0,0,HLOOKUP("Headers",A1:CV300,26,FALSE)/HLOOKUP("Mins",A1:CV300,26,FALSE)* 90)</f>
      </c>
      <c r="BF26" s="17296">
        <f>IF(HLOOKUP("Mins",A1:CV300,26,FALSE)=0,0,HLOOKUP("SOT",A1:CV300,26,FALSE)/HLOOKUP("Mins",A1:CV300,26,FALSE)* 90)</f>
      </c>
      <c r="BG26" s="17297">
        <f>IF(HLOOKUP("Mins",A1:CV300,26,FALSE)=0,0,HLOOKUP("As",A1:CV300,26,FALSE)/HLOOKUP("Mins",A1:CV300,26,FALSE)* 90)</f>
      </c>
      <c r="BH26" s="17298">
        <f>IF(HLOOKUP("Mins",A1:CV300,26,FALSE)=0,0,HLOOKUP("FPL As",A1:CV300,26,FALSE)/HLOOKUP("Mins",A1:CV300,26,FALSE)* 90)</f>
      </c>
      <c r="BI26" s="17299">
        <f>IF(HLOOKUP("Mins",A1:CV300,26,FALSE)=0,0,HLOOKUP("BC Created",A1:CV300,26,FALSE)/HLOOKUP("Mins",A1:CV300,26,FALSE)* 90)</f>
      </c>
      <c r="BJ26" s="17300">
        <f>IF(HLOOKUP("Mins",A1:CV300,26,FALSE)=0,0,HLOOKUP("KP",A1:CV300,26,FALSE)/HLOOKUP("Mins",A1:CV300,26,FALSE)* 90)</f>
      </c>
      <c r="BK26" s="17301">
        <f>IF(HLOOKUP("Mins",A1:CV300,26,FALSE)=0,0,HLOOKUP("BC",A1:CV300,26,FALSE)/HLOOKUP("Mins",A1:CV300,26,FALSE)* 90)</f>
      </c>
      <c r="BL26" s="17302">
        <f>IF(HLOOKUP("Mins",A1:CV300,26,FALSE)=0,0,HLOOKUP("BC Miss",A1:CV300,26,FALSE)/HLOOKUP("Mins",A1:CV300,26,FALSE)* 90)</f>
      </c>
      <c r="BM26" s="17303">
        <f>IF(HLOOKUP("Mins",A1:CV300,26,FALSE)=0,0,HLOOKUP("Gs - BC",A1:CV300,26,FALSE)/HLOOKUP("Mins",A1:CV300,26,FALSE)* 90)</f>
      </c>
      <c r="BN26" s="17304">
        <f>IF(HLOOKUP("Mins",A1:CV300,26,FALSE)=0,0,HLOOKUP("GIB",A1:CV300,26,FALSE)/HLOOKUP("Mins",A1:CV300,26,FALSE)* 90)</f>
      </c>
      <c r="BO26" s="17305">
        <f>IF(HLOOKUP("Mins",A1:CV300,26,FALSE)=0,0,HLOOKUP("Gs - Open",A1:CV300,26,FALSE)/HLOOKUP("Mins",A1:CV300,26,FALSE)* 90)</f>
      </c>
      <c r="BP26" s="17306">
        <f>IF(HLOOKUP("Mins",A1:CV300,26,FALSE)=0,0,HLOOKUP("ICT Index",A1:CV300,26,FALSE)/HLOOKUP("Mins",A1:CV300,26,FALSE)* 90)</f>
      </c>
      <c r="BQ26" s="17307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17308">
        <f>0.0885*HLOOKUP("KP/90",A1:CV300,26,FALSE)</f>
      </c>
      <c r="BS26" s="17309">
        <f>5*HLOOKUP("xG/90",A1:CV300,26,FALSE)+3*HLOOKUP("xA/90",A1:CV300,26,FALSE)</f>
      </c>
      <c r="BT26" s="17310">
        <f>HLOOKUP("xPts/90",A1:CV300,26,FALSE)-(5*0.75*(HLOOKUP("PK Gs",A1:CV300,26,FALSE)+HLOOKUP("PK Miss",A1:CV300,26,FALSE))*90/HLOOKUP("Mins",A1:CV300,26,FALSE))</f>
      </c>
      <c r="BU26" s="17311">
        <f>IF(HLOOKUP("Mins",A1:CV300,26,FALSE)=0,0,HLOOKUP("fsXG",A1:CV300,26,FALSE)/HLOOKUP("Mins",A1:CV300,26,FALSE)* 90)</f>
      </c>
      <c r="BV26" s="17312">
        <f>IF(HLOOKUP("Mins",A1:CV300,26,FALSE)=0,0,HLOOKUP("fsXA",A1:CV300,26,FALSE)/HLOOKUP("Mins",A1:CV300,26,FALSE)* 90)</f>
      </c>
      <c r="BW26" s="17313">
        <f>5*HLOOKUP("fsXG/90",A1:CV300,26,FALSE)+3*HLOOKUP("fsXA/90",A1:CV300,26,FALSE)</f>
      </c>
      <c r="BX26" t="n" s="17314">
        <v>0.04528432339429855</v>
      </c>
      <c r="BY26" t="n" s="17315">
        <v>0.10290302336215973</v>
      </c>
      <c r="BZ26" s="17316">
        <f>5*HLOOKUP("uXG/90",A1:CV300,26,FALSE)+3*HLOOKUP("uXA/90",A1:CV300,26,FALSE)</f>
      </c>
    </row>
    <row r="27">
      <c r="A27" t="s" s="17317">
        <v>318</v>
      </c>
      <c r="B27" t="s" s="17318">
        <v>107</v>
      </c>
      <c r="C27" t="n" s="17319">
        <v>4.5</v>
      </c>
      <c r="D27" t="n" s="17320">
        <v>340.0</v>
      </c>
      <c r="E27" t="n" s="17321">
        <v>5.0</v>
      </c>
      <c r="F27" t="n" s="17322">
        <v>9.0</v>
      </c>
      <c r="G27" t="n" s="17323">
        <v>0.0</v>
      </c>
      <c r="H27" t="n" s="17324">
        <v>0.0</v>
      </c>
      <c r="I27" t="n" s="17325">
        <v>60.0</v>
      </c>
      <c r="J27" s="17326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17327">
        <v>0.0</v>
      </c>
      <c r="L27" t="n" s="17328">
        <v>0.0</v>
      </c>
      <c r="M27" t="n" s="17329">
        <v>3.0</v>
      </c>
      <c r="N27" t="n" s="17330">
        <v>2.0</v>
      </c>
      <c r="O27" t="n" s="17331">
        <v>0.0</v>
      </c>
      <c r="P27" s="17332">
        <f>IF(HLOOKUP("Shots",A1:CV300,27,FALSE)=0,0,HLOOKUP("SIB",A1:CV300,27,FALSE)/HLOOKUP("Shots",A1:CV300,27,FALSE))</f>
      </c>
      <c r="Q27" t="n" s="17333">
        <v>0.0</v>
      </c>
      <c r="R27" s="17334">
        <f>IF(HLOOKUP("Shots",A1:CV300,27,FALSE)=0,0,HLOOKUP("S6YD",A1:CV300,27,FALSE)/HLOOKUP("Shots",A1:CV300,27,FALSE))</f>
      </c>
      <c r="S27" t="n" s="17335">
        <v>0.0</v>
      </c>
      <c r="T27" s="17336">
        <f>IF(HLOOKUP("Shots",A1:CV300,27,FALSE)=0,0,HLOOKUP("Headers",A1:CV300,27,FALSE)/HLOOKUP("Shots",A1:CV300,27,FALSE))</f>
      </c>
      <c r="U27" t="n" s="17337">
        <v>0.0</v>
      </c>
      <c r="V27" s="17338">
        <f>IF(HLOOKUP("Shots",A1:CV300,27,FALSE)=0,0,HLOOKUP("SOT",A1:CV300,27,FALSE)/HLOOKUP("Shots",A1:CV300,27,FALSE))</f>
      </c>
      <c r="W27" s="17339">
        <f>IF(HLOOKUP("Shots",A1:CV300,27,FALSE)=0,0,HLOOKUP("Gs",A1:CV300,27,FALSE)/HLOOKUP("Shots",A1:CV300,27,FALSE))</f>
      </c>
      <c r="X27" t="n" s="17340">
        <v>0.0</v>
      </c>
      <c r="Y27" t="n" s="17341">
        <v>0.0</v>
      </c>
      <c r="Z27" t="n" s="17342">
        <v>1.0</v>
      </c>
      <c r="AA27" s="17343">
        <f>IF(HLOOKUP("KP",A1:CV300,27,FALSE)=0,0,HLOOKUP("As",A1:CV300,27,FALSE)/HLOOKUP("KP",A1:CV300,27,FALSE))</f>
      </c>
      <c r="AB27" s="17344"/>
      <c r="AC27" t="n" s="17345">
        <v>0.0</v>
      </c>
      <c r="AD27" t="n" s="17346">
        <v>0.0</v>
      </c>
      <c r="AE27" t="n" s="17347">
        <v>0.0</v>
      </c>
      <c r="AF27" t="n" s="17348">
        <v>0.0</v>
      </c>
      <c r="AG27" s="17349">
        <f>IF(HLOOKUP("BC",A1:CV300,27,FALSE)=0,0,HLOOKUP("Gs - BC",A1:CV300,27,FALSE)/HLOOKUP("BC",A1:CV300,27,FALSE))</f>
      </c>
      <c r="AH27" s="17350">
        <f>HLOOKUP("BC",A1:CV300,27,FALSE) - HLOOKUP("BC Miss",A1:CV300,27,FALSE)</f>
      </c>
      <c r="AI27" s="17351">
        <f>IF(HLOOKUP("Gs",A1:CV300,27,FALSE)=0,0,HLOOKUP("Gs - BC",A1:CV300,27,FALSE)/HLOOKUP("Gs",A1:CV300,27,FALSE))</f>
      </c>
      <c r="AJ27" t="n" s="17352">
        <v>0.0</v>
      </c>
      <c r="AK27" t="n" s="17353">
        <v>0.0</v>
      </c>
      <c r="AL27" s="17354">
        <f>HLOOKUP("BC",A1:CV300,27,FALSE) - (HLOOKUP("PK Gs",A1:CV300,27,FALSE) + HLOOKUP("PK Miss",A1:CV300,27,FALSE))</f>
      </c>
      <c r="AM27" s="17355">
        <f>HLOOKUP("BC Miss",A1:CV300,27,FALSE) - HLOOKUP("PK Miss",A1:CV300,27,FALSE)</f>
      </c>
      <c r="AN27" s="17356">
        <f>IF(HLOOKUP("BC - Open",A1:CV300,27,FALSE)=0,0,HLOOKUP("BC - Open Miss",A1:CV300,27,FALSE)/HLOOKUP("BC - Open",A1:CV300,27,FALSE))</f>
      </c>
      <c r="AO27" t="n" s="17357">
        <v>0.0</v>
      </c>
      <c r="AP27" s="17358">
        <f>IF(HLOOKUP("Gs",A1:CV300,27,FALSE)=0,0,HLOOKUP("GIB",A1:CV300,27,FALSE)/HLOOKUP("Gs",A1:CV300,27,FALSE))</f>
      </c>
      <c r="AQ27" t="n" s="17359">
        <v>0.0</v>
      </c>
      <c r="AR27" s="17360">
        <f>IF(HLOOKUP("Gs",A1:CV300,27,FALSE)=0,0,HLOOKUP("Gs - Open",A1:CV300,27,FALSE)/HLOOKUP("Gs",A1:CV300,27,FALSE))</f>
      </c>
      <c r="AS27" t="n" s="17361">
        <v>0.05</v>
      </c>
      <c r="AT27" t="n" s="17362">
        <v>0.18</v>
      </c>
      <c r="AU27" s="17363">
        <f>IF(HLOOKUP("Mins",A1:CV300,27,FALSE)=0,0,HLOOKUP("Pts",A1:CV300,27,FALSE)/HLOOKUP("Mins",A1:CV300,27,FALSE)* 90)</f>
      </c>
      <c r="AV27" s="17364">
        <f>IF(HLOOKUP("Apps",A1:CV300,27,FALSE)=0,0,HLOOKUP("Pts",A1:CV300,27,FALSE)/HLOOKUP("Apps",A1:CV300,27,FALSE)* 1)</f>
      </c>
      <c r="AW27" s="17365">
        <f>IF(HLOOKUP("Mins",A1:CV300,27,FALSE)=0,0,HLOOKUP("Gs",A1:CV300,27,FALSE)/HLOOKUP("Mins",A1:CV300,27,FALSE)* 90)</f>
      </c>
      <c r="AX27" s="17366">
        <f>IF(HLOOKUP("Mins",A1:CV300,27,FALSE)=0,0,HLOOKUP("Bonus",A1:CV300,27,FALSE)/HLOOKUP("Mins",A1:CV300,27,FALSE)* 90)</f>
      </c>
      <c r="AY27" s="17367">
        <f>IF(HLOOKUP("Mins",A1:CV300,27,FALSE)=0,0,HLOOKUP("BPS",A1:CV300,27,FALSE)/HLOOKUP("Mins",A1:CV300,27,FALSE)* 90)</f>
      </c>
      <c r="AZ27" s="17368">
        <f>IF(HLOOKUP("Mins",A1:CV300,27,FALSE)=0,0,HLOOKUP("Base BPS",A1:CV300,27,FALSE)/HLOOKUP("Mins",A1:CV300,27,FALSE)* 90)</f>
      </c>
      <c r="BA27" s="17369">
        <f>IF(HLOOKUP("Mins",A1:CV300,27,FALSE)=0,0,HLOOKUP("PenTchs",A1:CV300,27,FALSE)/HLOOKUP("Mins",A1:CV300,27,FALSE)* 90)</f>
      </c>
      <c r="BB27" s="17370">
        <f>IF(HLOOKUP("Mins",A1:CV300,27,FALSE)=0,0,HLOOKUP("Shots",A1:CV300,27,FALSE)/HLOOKUP("Mins",A1:CV300,27,FALSE)* 90)</f>
      </c>
      <c r="BC27" s="17371">
        <f>IF(HLOOKUP("Mins",A1:CV300,27,FALSE)=0,0,HLOOKUP("SIB",A1:CV300,27,FALSE)/HLOOKUP("Mins",A1:CV300,27,FALSE)* 90)</f>
      </c>
      <c r="BD27" s="17372">
        <f>IF(HLOOKUP("Mins",A1:CV300,27,FALSE)=0,0,HLOOKUP("S6YD",A1:CV300,27,FALSE)/HLOOKUP("Mins",A1:CV300,27,FALSE)* 90)</f>
      </c>
      <c r="BE27" s="17373">
        <f>IF(HLOOKUP("Mins",A1:CV300,27,FALSE)=0,0,HLOOKUP("Headers",A1:CV300,27,FALSE)/HLOOKUP("Mins",A1:CV300,27,FALSE)* 90)</f>
      </c>
      <c r="BF27" s="17374">
        <f>IF(HLOOKUP("Mins",A1:CV300,27,FALSE)=0,0,HLOOKUP("SOT",A1:CV300,27,FALSE)/HLOOKUP("Mins",A1:CV300,27,FALSE)* 90)</f>
      </c>
      <c r="BG27" s="17375">
        <f>IF(HLOOKUP("Mins",A1:CV300,27,FALSE)=0,0,HLOOKUP("As",A1:CV300,27,FALSE)/HLOOKUP("Mins",A1:CV300,27,FALSE)* 90)</f>
      </c>
      <c r="BH27" s="17376">
        <f>IF(HLOOKUP("Mins",A1:CV300,27,FALSE)=0,0,HLOOKUP("FPL As",A1:CV300,27,FALSE)/HLOOKUP("Mins",A1:CV300,27,FALSE)* 90)</f>
      </c>
      <c r="BI27" s="17377">
        <f>IF(HLOOKUP("Mins",A1:CV300,27,FALSE)=0,0,HLOOKUP("BC Created",A1:CV300,27,FALSE)/HLOOKUP("Mins",A1:CV300,27,FALSE)* 90)</f>
      </c>
      <c r="BJ27" s="17378">
        <f>IF(HLOOKUP("Mins",A1:CV300,27,FALSE)=0,0,HLOOKUP("KP",A1:CV300,27,FALSE)/HLOOKUP("Mins",A1:CV300,27,FALSE)* 90)</f>
      </c>
      <c r="BK27" s="17379">
        <f>IF(HLOOKUP("Mins",A1:CV300,27,FALSE)=0,0,HLOOKUP("BC",A1:CV300,27,FALSE)/HLOOKUP("Mins",A1:CV300,27,FALSE)* 90)</f>
      </c>
      <c r="BL27" s="17380">
        <f>IF(HLOOKUP("Mins",A1:CV300,27,FALSE)=0,0,HLOOKUP("BC Miss",A1:CV300,27,FALSE)/HLOOKUP("Mins",A1:CV300,27,FALSE)* 90)</f>
      </c>
      <c r="BM27" s="17381">
        <f>IF(HLOOKUP("Mins",A1:CV300,27,FALSE)=0,0,HLOOKUP("Gs - BC",A1:CV300,27,FALSE)/HLOOKUP("Mins",A1:CV300,27,FALSE)* 90)</f>
      </c>
      <c r="BN27" s="17382">
        <f>IF(HLOOKUP("Mins",A1:CV300,27,FALSE)=0,0,HLOOKUP("GIB",A1:CV300,27,FALSE)/HLOOKUP("Mins",A1:CV300,27,FALSE)* 90)</f>
      </c>
      <c r="BO27" s="17383">
        <f>IF(HLOOKUP("Mins",A1:CV300,27,FALSE)=0,0,HLOOKUP("Gs - Open",A1:CV300,27,FALSE)/HLOOKUP("Mins",A1:CV300,27,FALSE)* 90)</f>
      </c>
      <c r="BP27" s="17384">
        <f>IF(HLOOKUP("Mins",A1:CV300,27,FALSE)=0,0,HLOOKUP("ICT Index",A1:CV300,27,FALSE)/HLOOKUP("Mins",A1:CV300,27,FALSE)* 90)</f>
      </c>
      <c r="BQ27" s="17385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17386">
        <f>0.0885*HLOOKUP("KP/90",A1:CV300,27,FALSE)</f>
      </c>
      <c r="BS27" s="17387">
        <f>5*HLOOKUP("xG/90",A1:CV300,27,FALSE)+3*HLOOKUP("xA/90",A1:CV300,27,FALSE)</f>
      </c>
      <c r="BT27" s="17388">
        <f>HLOOKUP("xPts/90",A1:CV300,27,FALSE)-(5*0.75*(HLOOKUP("PK Gs",A1:CV300,27,FALSE)+HLOOKUP("PK Miss",A1:CV300,27,FALSE))*90/HLOOKUP("Mins",A1:CV300,27,FALSE))</f>
      </c>
      <c r="BU27" s="17389">
        <f>IF(HLOOKUP("Mins",A1:CV300,27,FALSE)=0,0,HLOOKUP("fsXG",A1:CV300,27,FALSE)/HLOOKUP("Mins",A1:CV300,27,FALSE)* 90)</f>
      </c>
      <c r="BV27" s="17390">
        <f>IF(HLOOKUP("Mins",A1:CV300,27,FALSE)=0,0,HLOOKUP("fsXA",A1:CV300,27,FALSE)/HLOOKUP("Mins",A1:CV300,27,FALSE)* 90)</f>
      </c>
      <c r="BW27" s="17391">
        <f>5*HLOOKUP("fsXG/90",A1:CV300,27,FALSE)+3*HLOOKUP("fsXA/90",A1:CV300,27,FALSE)</f>
      </c>
      <c r="BX27" t="n" s="17392">
        <v>0.007745697628706694</v>
      </c>
      <c r="BY27" t="n" s="17393">
        <v>0.1047205850481987</v>
      </c>
      <c r="BZ27" s="17394">
        <f>5*HLOOKUP("uXG/90",A1:CV300,27,FALSE)+3*HLOOKUP("uXA/90",A1:CV300,27,FALSE)</f>
      </c>
    </row>
    <row r="28">
      <c r="A28" t="s" s="17395">
        <v>319</v>
      </c>
      <c r="B28" t="s" s="17396">
        <v>117</v>
      </c>
      <c r="C28" t="n" s="17397">
        <v>5.599999904632568</v>
      </c>
      <c r="D28" t="n" s="17398">
        <v>67.0</v>
      </c>
      <c r="E28" t="n" s="17399">
        <v>4.0</v>
      </c>
      <c r="F28" t="n" s="17400">
        <v>34.0</v>
      </c>
      <c r="G28" t="n" s="17401">
        <v>1.0</v>
      </c>
      <c r="H28" t="n" s="17402">
        <v>0.0</v>
      </c>
      <c r="I28" t="n" s="17403">
        <v>110.0</v>
      </c>
      <c r="J28" s="17404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17405">
        <v>0.0</v>
      </c>
      <c r="L28" t="n" s="17406">
        <v>4.0</v>
      </c>
      <c r="M28" t="n" s="17407">
        <v>6.0</v>
      </c>
      <c r="N28" t="n" s="17408">
        <v>1.0</v>
      </c>
      <c r="O28" t="n" s="17409">
        <v>1.0</v>
      </c>
      <c r="P28" s="17410">
        <f>IF(HLOOKUP("Shots",A1:CV300,28,FALSE)=0,0,HLOOKUP("SIB",A1:CV300,28,FALSE)/HLOOKUP("Shots",A1:CV300,28,FALSE))</f>
      </c>
      <c r="Q28" t="n" s="17411">
        <v>0.0</v>
      </c>
      <c r="R28" s="17412">
        <f>IF(HLOOKUP("Shots",A1:CV300,28,FALSE)=0,0,HLOOKUP("S6YD",A1:CV300,28,FALSE)/HLOOKUP("Shots",A1:CV300,28,FALSE))</f>
      </c>
      <c r="S28" t="n" s="17413">
        <v>0.0</v>
      </c>
      <c r="T28" s="17414">
        <f>IF(HLOOKUP("Shots",A1:CV300,28,FALSE)=0,0,HLOOKUP("Headers",A1:CV300,28,FALSE)/HLOOKUP("Shots",A1:CV300,28,FALSE))</f>
      </c>
      <c r="U28" t="n" s="17415">
        <v>1.0</v>
      </c>
      <c r="V28" s="17416">
        <f>IF(HLOOKUP("Shots",A1:CV300,28,FALSE)=0,0,HLOOKUP("SOT",A1:CV300,28,FALSE)/HLOOKUP("Shots",A1:CV300,28,FALSE))</f>
      </c>
      <c r="W28" s="17417">
        <f>IF(HLOOKUP("Shots",A1:CV300,28,FALSE)=0,0,HLOOKUP("Gs",A1:CV300,28,FALSE)/HLOOKUP("Shots",A1:CV300,28,FALSE))</f>
      </c>
      <c r="X28" t="n" s="17418">
        <v>0.0</v>
      </c>
      <c r="Y28" t="n" s="17419">
        <v>0.0</v>
      </c>
      <c r="Z28" t="n" s="17420">
        <v>2.0</v>
      </c>
      <c r="AA28" s="17421">
        <f>IF(HLOOKUP("KP",A1:CV300,28,FALSE)=0,0,HLOOKUP("As",A1:CV300,28,FALSE)/HLOOKUP("KP",A1:CV300,28,FALSE))</f>
      </c>
      <c r="AB28" s="17422"/>
      <c r="AC28" t="n" s="17423">
        <v>100.0</v>
      </c>
      <c r="AD28" t="n" s="17424">
        <v>0.0</v>
      </c>
      <c r="AE28" t="n" s="17425">
        <v>1.0</v>
      </c>
      <c r="AF28" t="n" s="17426">
        <v>0.0</v>
      </c>
      <c r="AG28" s="17427">
        <f>IF(HLOOKUP("BC",A1:CV300,28,FALSE)=0,0,HLOOKUP("Gs - BC",A1:CV300,28,FALSE)/HLOOKUP("BC",A1:CV300,28,FALSE))</f>
      </c>
      <c r="AH28" s="17428">
        <f>HLOOKUP("BC",A1:CV300,28,FALSE) - HLOOKUP("BC Miss",A1:CV300,28,FALSE)</f>
      </c>
      <c r="AI28" s="17429">
        <f>IF(HLOOKUP("Gs",A1:CV300,28,FALSE)=0,0,HLOOKUP("Gs - BC",A1:CV300,28,FALSE)/HLOOKUP("Gs",A1:CV300,28,FALSE))</f>
      </c>
      <c r="AJ28" t="n" s="17430">
        <v>0.0</v>
      </c>
      <c r="AK28" t="n" s="17431">
        <v>0.0</v>
      </c>
      <c r="AL28" s="17432">
        <f>HLOOKUP("BC",A1:CV300,28,FALSE) - (HLOOKUP("PK Gs",A1:CV300,28,FALSE) + HLOOKUP("PK Miss",A1:CV300,28,FALSE))</f>
      </c>
      <c r="AM28" s="17433">
        <f>HLOOKUP("BC Miss",A1:CV300,28,FALSE) - HLOOKUP("PK Miss",A1:CV300,28,FALSE)</f>
      </c>
      <c r="AN28" s="17434">
        <f>IF(HLOOKUP("BC - Open",A1:CV300,28,FALSE)=0,0,HLOOKUP("BC - Open Miss",A1:CV300,28,FALSE)/HLOOKUP("BC - Open",A1:CV300,28,FALSE))</f>
      </c>
      <c r="AO28" t="n" s="17435">
        <v>1.0</v>
      </c>
      <c r="AP28" s="17436">
        <f>IF(HLOOKUP("Gs",A1:CV300,28,FALSE)=0,0,HLOOKUP("GIB",A1:CV300,28,FALSE)/HLOOKUP("Gs",A1:CV300,28,FALSE))</f>
      </c>
      <c r="AQ28" t="n" s="17437">
        <v>1.0</v>
      </c>
      <c r="AR28" s="17438">
        <f>IF(HLOOKUP("Gs",A1:CV300,28,FALSE)=0,0,HLOOKUP("Gs - Open",A1:CV300,28,FALSE)/HLOOKUP("Gs",A1:CV300,28,FALSE))</f>
      </c>
      <c r="AS28" t="n" s="17439">
        <v>0.4</v>
      </c>
      <c r="AT28" t="n" s="17440">
        <v>0.1</v>
      </c>
      <c r="AU28" s="17441">
        <f>IF(HLOOKUP("Mins",A1:CV300,28,FALSE)=0,0,HLOOKUP("Pts",A1:CV300,28,FALSE)/HLOOKUP("Mins",A1:CV300,28,FALSE)* 90)</f>
      </c>
      <c r="AV28" s="17442">
        <f>IF(HLOOKUP("Apps",A1:CV300,28,FALSE)=0,0,HLOOKUP("Pts",A1:CV300,28,FALSE)/HLOOKUP("Apps",A1:CV300,28,FALSE)* 1)</f>
      </c>
      <c r="AW28" s="17443">
        <f>IF(HLOOKUP("Mins",A1:CV300,28,FALSE)=0,0,HLOOKUP("Gs",A1:CV300,28,FALSE)/HLOOKUP("Mins",A1:CV300,28,FALSE)* 90)</f>
      </c>
      <c r="AX28" s="17444">
        <f>IF(HLOOKUP("Mins",A1:CV300,28,FALSE)=0,0,HLOOKUP("Bonus",A1:CV300,28,FALSE)/HLOOKUP("Mins",A1:CV300,28,FALSE)* 90)</f>
      </c>
      <c r="AY28" s="17445">
        <f>IF(HLOOKUP("Mins",A1:CV300,28,FALSE)=0,0,HLOOKUP("BPS",A1:CV300,28,FALSE)/HLOOKUP("Mins",A1:CV300,28,FALSE)* 90)</f>
      </c>
      <c r="AZ28" s="17446">
        <f>IF(HLOOKUP("Mins",A1:CV300,28,FALSE)=0,0,HLOOKUP("Base BPS",A1:CV300,28,FALSE)/HLOOKUP("Mins",A1:CV300,28,FALSE)* 90)</f>
      </c>
      <c r="BA28" s="17447">
        <f>IF(HLOOKUP("Mins",A1:CV300,28,FALSE)=0,0,HLOOKUP("PenTchs",A1:CV300,28,FALSE)/HLOOKUP("Mins",A1:CV300,28,FALSE)* 90)</f>
      </c>
      <c r="BB28" s="17448">
        <f>IF(HLOOKUP("Mins",A1:CV300,28,FALSE)=0,0,HLOOKUP("Shots",A1:CV300,28,FALSE)/HLOOKUP("Mins",A1:CV300,28,FALSE)* 90)</f>
      </c>
      <c r="BC28" s="17449">
        <f>IF(HLOOKUP("Mins",A1:CV300,28,FALSE)=0,0,HLOOKUP("SIB",A1:CV300,28,FALSE)/HLOOKUP("Mins",A1:CV300,28,FALSE)* 90)</f>
      </c>
      <c r="BD28" s="17450">
        <f>IF(HLOOKUP("Mins",A1:CV300,28,FALSE)=0,0,HLOOKUP("S6YD",A1:CV300,28,FALSE)/HLOOKUP("Mins",A1:CV300,28,FALSE)* 90)</f>
      </c>
      <c r="BE28" s="17451">
        <f>IF(HLOOKUP("Mins",A1:CV300,28,FALSE)=0,0,HLOOKUP("Headers",A1:CV300,28,FALSE)/HLOOKUP("Mins",A1:CV300,28,FALSE)* 90)</f>
      </c>
      <c r="BF28" s="17452">
        <f>IF(HLOOKUP("Mins",A1:CV300,28,FALSE)=0,0,HLOOKUP("SOT",A1:CV300,28,FALSE)/HLOOKUP("Mins",A1:CV300,28,FALSE)* 90)</f>
      </c>
      <c r="BG28" s="17453">
        <f>IF(HLOOKUP("Mins",A1:CV300,28,FALSE)=0,0,HLOOKUP("As",A1:CV300,28,FALSE)/HLOOKUP("Mins",A1:CV300,28,FALSE)* 90)</f>
      </c>
      <c r="BH28" s="17454">
        <f>IF(HLOOKUP("Mins",A1:CV300,28,FALSE)=0,0,HLOOKUP("FPL As",A1:CV300,28,FALSE)/HLOOKUP("Mins",A1:CV300,28,FALSE)* 90)</f>
      </c>
      <c r="BI28" s="17455">
        <f>IF(HLOOKUP("Mins",A1:CV300,28,FALSE)=0,0,HLOOKUP("BC Created",A1:CV300,28,FALSE)/HLOOKUP("Mins",A1:CV300,28,FALSE)* 90)</f>
      </c>
      <c r="BJ28" s="17456">
        <f>IF(HLOOKUP("Mins",A1:CV300,28,FALSE)=0,0,HLOOKUP("KP",A1:CV300,28,FALSE)/HLOOKUP("Mins",A1:CV300,28,FALSE)* 90)</f>
      </c>
      <c r="BK28" s="17457">
        <f>IF(HLOOKUP("Mins",A1:CV300,28,FALSE)=0,0,HLOOKUP("BC",A1:CV300,28,FALSE)/HLOOKUP("Mins",A1:CV300,28,FALSE)* 90)</f>
      </c>
      <c r="BL28" s="17458">
        <f>IF(HLOOKUP("Mins",A1:CV300,28,FALSE)=0,0,HLOOKUP("BC Miss",A1:CV300,28,FALSE)/HLOOKUP("Mins",A1:CV300,28,FALSE)* 90)</f>
      </c>
      <c r="BM28" s="17459">
        <f>IF(HLOOKUP("Mins",A1:CV300,28,FALSE)=0,0,HLOOKUP("Gs - BC",A1:CV300,28,FALSE)/HLOOKUP("Mins",A1:CV300,28,FALSE)* 90)</f>
      </c>
      <c r="BN28" s="17460">
        <f>IF(HLOOKUP("Mins",A1:CV300,28,FALSE)=0,0,HLOOKUP("GIB",A1:CV300,28,FALSE)/HLOOKUP("Mins",A1:CV300,28,FALSE)* 90)</f>
      </c>
      <c r="BO28" s="17461">
        <f>IF(HLOOKUP("Mins",A1:CV300,28,FALSE)=0,0,HLOOKUP("Gs - Open",A1:CV300,28,FALSE)/HLOOKUP("Mins",A1:CV300,28,FALSE)* 90)</f>
      </c>
      <c r="BP28" s="17462">
        <f>IF(HLOOKUP("Mins",A1:CV300,28,FALSE)=0,0,HLOOKUP("ICT Index",A1:CV300,28,FALSE)/HLOOKUP("Mins",A1:CV300,28,FALSE)* 90)</f>
      </c>
      <c r="BQ28" s="17463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17464">
        <f>0.0885*HLOOKUP("KP/90",A1:CV300,28,FALSE)</f>
      </c>
      <c r="BS28" s="17465">
        <f>5*HLOOKUP("xG/90",A1:CV300,28,FALSE)+3*HLOOKUP("xA/90",A1:CV300,28,FALSE)</f>
      </c>
      <c r="BT28" s="17466">
        <f>HLOOKUP("xPts/90",A1:CV300,28,FALSE)-(5*0.75*(HLOOKUP("PK Gs",A1:CV300,28,FALSE)+HLOOKUP("PK Miss",A1:CV300,28,FALSE))*90/HLOOKUP("Mins",A1:CV300,28,FALSE))</f>
      </c>
      <c r="BU28" s="17467">
        <f>IF(HLOOKUP("Mins",A1:CV300,28,FALSE)=0,0,HLOOKUP("fsXG",A1:CV300,28,FALSE)/HLOOKUP("Mins",A1:CV300,28,FALSE)* 90)</f>
      </c>
      <c r="BV28" s="17468">
        <f>IF(HLOOKUP("Mins",A1:CV300,28,FALSE)=0,0,HLOOKUP("fsXA",A1:CV300,28,FALSE)/HLOOKUP("Mins",A1:CV300,28,FALSE)* 90)</f>
      </c>
      <c r="BW28" s="17469">
        <f>5*HLOOKUP("fsXG/90",A1:CV300,28,FALSE)+3*HLOOKUP("fsXA/90",A1:CV300,28,FALSE)</f>
      </c>
      <c r="BX28" t="n" s="17470">
        <v>0.7636075019836426</v>
      </c>
      <c r="BY28" t="n" s="17471">
        <v>0.14194318652153015</v>
      </c>
      <c r="BZ28" s="17472">
        <f>5*HLOOKUP("uXG/90",A1:CV300,28,FALSE)+3*HLOOKUP("uXA/90",A1:CV300,28,FALSE)</f>
      </c>
    </row>
    <row r="29">
      <c r="A29" t="s" s="17473">
        <v>320</v>
      </c>
      <c r="B29" t="s" s="17474">
        <v>114</v>
      </c>
      <c r="C29" t="n" s="17475">
        <v>6.199999809265137</v>
      </c>
      <c r="D29" t="n" s="17476">
        <v>176.0</v>
      </c>
      <c r="E29" t="n" s="17477">
        <v>4.0</v>
      </c>
      <c r="F29" t="n" s="17478">
        <v>30.0</v>
      </c>
      <c r="G29" t="n" s="17479">
        <v>0.0</v>
      </c>
      <c r="H29" t="n" s="17480">
        <v>0.0</v>
      </c>
      <c r="I29" t="n" s="17481">
        <v>68.0</v>
      </c>
      <c r="J29" s="17482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17483">
        <v>0.0</v>
      </c>
      <c r="L29" t="n" s="17484">
        <v>2.0</v>
      </c>
      <c r="M29" t="n" s="17485">
        <v>8.0</v>
      </c>
      <c r="N29" t="n" s="17486">
        <v>4.0</v>
      </c>
      <c r="O29" t="n" s="17487">
        <v>4.0</v>
      </c>
      <c r="P29" s="17488">
        <f>IF(HLOOKUP("Shots",A1:CV300,29,FALSE)=0,0,HLOOKUP("SIB",A1:CV300,29,FALSE)/HLOOKUP("Shots",A1:CV300,29,FALSE))</f>
      </c>
      <c r="Q29" t="n" s="17489">
        <v>0.0</v>
      </c>
      <c r="R29" s="17490">
        <f>IF(HLOOKUP("Shots",A1:CV300,29,FALSE)=0,0,HLOOKUP("S6YD",A1:CV300,29,FALSE)/HLOOKUP("Shots",A1:CV300,29,FALSE))</f>
      </c>
      <c r="S29" t="n" s="17491">
        <v>0.0</v>
      </c>
      <c r="T29" s="17492">
        <f>IF(HLOOKUP("Shots",A1:CV300,29,FALSE)=0,0,HLOOKUP("Headers",A1:CV300,29,FALSE)/HLOOKUP("Shots",A1:CV300,29,FALSE))</f>
      </c>
      <c r="U29" t="n" s="17493">
        <v>1.0</v>
      </c>
      <c r="V29" s="17494">
        <f>IF(HLOOKUP("Shots",A1:CV300,29,FALSE)=0,0,HLOOKUP("SOT",A1:CV300,29,FALSE)/HLOOKUP("Shots",A1:CV300,29,FALSE))</f>
      </c>
      <c r="W29" s="17495">
        <f>IF(HLOOKUP("Shots",A1:CV300,29,FALSE)=0,0,HLOOKUP("Gs",A1:CV300,29,FALSE)/HLOOKUP("Shots",A1:CV300,29,FALSE))</f>
      </c>
      <c r="X29" t="n" s="17496">
        <v>0.0</v>
      </c>
      <c r="Y29" t="n" s="17497">
        <v>2.0</v>
      </c>
      <c r="Z29" t="n" s="17498">
        <v>1.0</v>
      </c>
      <c r="AA29" s="17499">
        <f>IF(HLOOKUP("KP",A1:CV300,29,FALSE)=0,0,HLOOKUP("As",A1:CV300,29,FALSE)/HLOOKUP("KP",A1:CV300,29,FALSE))</f>
      </c>
      <c r="AB29" s="17500"/>
      <c r="AC29" t="n" s="17501">
        <v>25.0</v>
      </c>
      <c r="AD29" t="n" s="17502">
        <v>0.0</v>
      </c>
      <c r="AE29" t="n" s="17503">
        <v>1.0</v>
      </c>
      <c r="AF29" t="n" s="17504">
        <v>1.0</v>
      </c>
      <c r="AG29" s="17505">
        <f>IF(HLOOKUP("BC",A1:CV300,29,FALSE)=0,0,HLOOKUP("Gs - BC",A1:CV300,29,FALSE)/HLOOKUP("BC",A1:CV300,29,FALSE))</f>
      </c>
      <c r="AH29" s="17506">
        <f>HLOOKUP("BC",A1:CV300,29,FALSE) - HLOOKUP("BC Miss",A1:CV300,29,FALSE)</f>
      </c>
      <c r="AI29" s="17507">
        <f>IF(HLOOKUP("Gs",A1:CV300,29,FALSE)=0,0,HLOOKUP("Gs - BC",A1:CV300,29,FALSE)/HLOOKUP("Gs",A1:CV300,29,FALSE))</f>
      </c>
      <c r="AJ29" t="n" s="17508">
        <v>0.0</v>
      </c>
      <c r="AK29" t="n" s="17509">
        <v>0.0</v>
      </c>
      <c r="AL29" s="17510">
        <f>HLOOKUP("BC",A1:CV300,29,FALSE) - (HLOOKUP("PK Gs",A1:CV300,29,FALSE) + HLOOKUP("PK Miss",A1:CV300,29,FALSE))</f>
      </c>
      <c r="AM29" s="17511">
        <f>HLOOKUP("BC Miss",A1:CV300,29,FALSE) - HLOOKUP("PK Miss",A1:CV300,29,FALSE)</f>
      </c>
      <c r="AN29" s="17512">
        <f>IF(HLOOKUP("BC - Open",A1:CV300,29,FALSE)=0,0,HLOOKUP("BC - Open Miss",A1:CV300,29,FALSE)/HLOOKUP("BC - Open",A1:CV300,29,FALSE))</f>
      </c>
      <c r="AO29" t="n" s="17513">
        <v>0.0</v>
      </c>
      <c r="AP29" s="17514">
        <f>IF(HLOOKUP("Gs",A1:CV300,29,FALSE)=0,0,HLOOKUP("GIB",A1:CV300,29,FALSE)/HLOOKUP("Gs",A1:CV300,29,FALSE))</f>
      </c>
      <c r="AQ29" t="n" s="17515">
        <v>0.0</v>
      </c>
      <c r="AR29" s="17516">
        <f>IF(HLOOKUP("Gs",A1:CV300,29,FALSE)=0,0,HLOOKUP("Gs - Open",A1:CV300,29,FALSE)/HLOOKUP("Gs",A1:CV300,29,FALSE))</f>
      </c>
      <c r="AS29" t="n" s="17517">
        <v>0.4</v>
      </c>
      <c r="AT29" t="n" s="17518">
        <v>0.03</v>
      </c>
      <c r="AU29" s="17519">
        <f>IF(HLOOKUP("Mins",A1:CV300,29,FALSE)=0,0,HLOOKUP("Pts",A1:CV300,29,FALSE)/HLOOKUP("Mins",A1:CV300,29,FALSE)* 90)</f>
      </c>
      <c r="AV29" s="17520">
        <f>IF(HLOOKUP("Apps",A1:CV300,29,FALSE)=0,0,HLOOKUP("Pts",A1:CV300,29,FALSE)/HLOOKUP("Apps",A1:CV300,29,FALSE)* 1)</f>
      </c>
      <c r="AW29" s="17521">
        <f>IF(HLOOKUP("Mins",A1:CV300,29,FALSE)=0,0,HLOOKUP("Gs",A1:CV300,29,FALSE)/HLOOKUP("Mins",A1:CV300,29,FALSE)* 90)</f>
      </c>
      <c r="AX29" s="17522">
        <f>IF(HLOOKUP("Mins",A1:CV300,29,FALSE)=0,0,HLOOKUP("Bonus",A1:CV300,29,FALSE)/HLOOKUP("Mins",A1:CV300,29,FALSE)* 90)</f>
      </c>
      <c r="AY29" s="17523">
        <f>IF(HLOOKUP("Mins",A1:CV300,29,FALSE)=0,0,HLOOKUP("BPS",A1:CV300,29,FALSE)/HLOOKUP("Mins",A1:CV300,29,FALSE)* 90)</f>
      </c>
      <c r="AZ29" s="17524">
        <f>IF(HLOOKUP("Mins",A1:CV300,29,FALSE)=0,0,HLOOKUP("Base BPS",A1:CV300,29,FALSE)/HLOOKUP("Mins",A1:CV300,29,FALSE)* 90)</f>
      </c>
      <c r="BA29" s="17525">
        <f>IF(HLOOKUP("Mins",A1:CV300,29,FALSE)=0,0,HLOOKUP("PenTchs",A1:CV300,29,FALSE)/HLOOKUP("Mins",A1:CV300,29,FALSE)* 90)</f>
      </c>
      <c r="BB29" s="17526">
        <f>IF(HLOOKUP("Mins",A1:CV300,29,FALSE)=0,0,HLOOKUP("Shots",A1:CV300,29,FALSE)/HLOOKUP("Mins",A1:CV300,29,FALSE)* 90)</f>
      </c>
      <c r="BC29" s="17527">
        <f>IF(HLOOKUP("Mins",A1:CV300,29,FALSE)=0,0,HLOOKUP("SIB",A1:CV300,29,FALSE)/HLOOKUP("Mins",A1:CV300,29,FALSE)* 90)</f>
      </c>
      <c r="BD29" s="17528">
        <f>IF(HLOOKUP("Mins",A1:CV300,29,FALSE)=0,0,HLOOKUP("S6YD",A1:CV300,29,FALSE)/HLOOKUP("Mins",A1:CV300,29,FALSE)* 90)</f>
      </c>
      <c r="BE29" s="17529">
        <f>IF(HLOOKUP("Mins",A1:CV300,29,FALSE)=0,0,HLOOKUP("Headers",A1:CV300,29,FALSE)/HLOOKUP("Mins",A1:CV300,29,FALSE)* 90)</f>
      </c>
      <c r="BF29" s="17530">
        <f>IF(HLOOKUP("Mins",A1:CV300,29,FALSE)=0,0,HLOOKUP("SOT",A1:CV300,29,FALSE)/HLOOKUP("Mins",A1:CV300,29,FALSE)* 90)</f>
      </c>
      <c r="BG29" s="17531">
        <f>IF(HLOOKUP("Mins",A1:CV300,29,FALSE)=0,0,HLOOKUP("As",A1:CV300,29,FALSE)/HLOOKUP("Mins",A1:CV300,29,FALSE)* 90)</f>
      </c>
      <c r="BH29" s="17532">
        <f>IF(HLOOKUP("Mins",A1:CV300,29,FALSE)=0,0,HLOOKUP("FPL As",A1:CV300,29,FALSE)/HLOOKUP("Mins",A1:CV300,29,FALSE)* 90)</f>
      </c>
      <c r="BI29" s="17533">
        <f>IF(HLOOKUP("Mins",A1:CV300,29,FALSE)=0,0,HLOOKUP("BC Created",A1:CV300,29,FALSE)/HLOOKUP("Mins",A1:CV300,29,FALSE)* 90)</f>
      </c>
      <c r="BJ29" s="17534">
        <f>IF(HLOOKUP("Mins",A1:CV300,29,FALSE)=0,0,HLOOKUP("KP",A1:CV300,29,FALSE)/HLOOKUP("Mins",A1:CV300,29,FALSE)* 90)</f>
      </c>
      <c r="BK29" s="17535">
        <f>IF(HLOOKUP("Mins",A1:CV300,29,FALSE)=0,0,HLOOKUP("BC",A1:CV300,29,FALSE)/HLOOKUP("Mins",A1:CV300,29,FALSE)* 90)</f>
      </c>
      <c r="BL29" s="17536">
        <f>IF(HLOOKUP("Mins",A1:CV300,29,FALSE)=0,0,HLOOKUP("BC Miss",A1:CV300,29,FALSE)/HLOOKUP("Mins",A1:CV300,29,FALSE)* 90)</f>
      </c>
      <c r="BM29" s="17537">
        <f>IF(HLOOKUP("Mins",A1:CV300,29,FALSE)=0,0,HLOOKUP("Gs - BC",A1:CV300,29,FALSE)/HLOOKUP("Mins",A1:CV300,29,FALSE)* 90)</f>
      </c>
      <c r="BN29" s="17538">
        <f>IF(HLOOKUP("Mins",A1:CV300,29,FALSE)=0,0,HLOOKUP("GIB",A1:CV300,29,FALSE)/HLOOKUP("Mins",A1:CV300,29,FALSE)* 90)</f>
      </c>
      <c r="BO29" s="17539">
        <f>IF(HLOOKUP("Mins",A1:CV300,29,FALSE)=0,0,HLOOKUP("Gs - Open",A1:CV300,29,FALSE)/HLOOKUP("Mins",A1:CV300,29,FALSE)* 90)</f>
      </c>
      <c r="BP29" s="17540">
        <f>IF(HLOOKUP("Mins",A1:CV300,29,FALSE)=0,0,HLOOKUP("ICT Index",A1:CV300,29,FALSE)/HLOOKUP("Mins",A1:CV300,29,FALSE)* 90)</f>
      </c>
      <c r="BQ29" s="17541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17542">
        <f>0.0885*HLOOKUP("KP/90",A1:CV300,29,FALSE)</f>
      </c>
      <c r="BS29" s="17543">
        <f>5*HLOOKUP("xG/90",A1:CV300,29,FALSE)+3*HLOOKUP("xA/90",A1:CV300,29,FALSE)</f>
      </c>
      <c r="BT29" s="17544">
        <f>HLOOKUP("xPts/90",A1:CV300,29,FALSE)-(5*0.75*(HLOOKUP("PK Gs",A1:CV300,29,FALSE)+HLOOKUP("PK Miss",A1:CV300,29,FALSE))*90/HLOOKUP("Mins",A1:CV300,29,FALSE))</f>
      </c>
      <c r="BU29" s="17545">
        <f>IF(HLOOKUP("Mins",A1:CV300,29,FALSE)=0,0,HLOOKUP("fsXG",A1:CV300,29,FALSE)/HLOOKUP("Mins",A1:CV300,29,FALSE)* 90)</f>
      </c>
      <c r="BV29" s="17546">
        <f>IF(HLOOKUP("Mins",A1:CV300,29,FALSE)=0,0,HLOOKUP("fsXA",A1:CV300,29,FALSE)/HLOOKUP("Mins",A1:CV300,29,FALSE)* 90)</f>
      </c>
      <c r="BW29" s="17547">
        <f>5*HLOOKUP("fsXG/90",A1:CV300,29,FALSE)+3*HLOOKUP("fsXA/90",A1:CV300,29,FALSE)</f>
      </c>
      <c r="BX29" t="n" s="17548">
        <v>0.2090226411819458</v>
      </c>
      <c r="BY29" t="n" s="17549">
        <v>0.008867109194397926</v>
      </c>
      <c r="BZ29" s="17550">
        <f>5*HLOOKUP("uXG/90",A1:CV300,29,FALSE)+3*HLOOKUP("uXA/90",A1:CV300,29,FALSE)</f>
      </c>
    </row>
    <row r="30">
      <c r="A30" t="s" s="17551">
        <v>321</v>
      </c>
      <c r="B30" t="s" s="17552">
        <v>90</v>
      </c>
      <c r="C30" t="n" s="17553">
        <v>6.199999809265137</v>
      </c>
      <c r="D30" t="n" s="17554">
        <v>250.0</v>
      </c>
      <c r="E30" t="n" s="17555">
        <v>6.0</v>
      </c>
      <c r="F30" t="n" s="17556">
        <v>18.0</v>
      </c>
      <c r="G30" t="n" s="17557">
        <v>1.0</v>
      </c>
      <c r="H30" t="n" s="17558">
        <v>1.0</v>
      </c>
      <c r="I30" t="n" s="17559">
        <v>76.0</v>
      </c>
      <c r="J30" s="17560">
        <f>HLOOKUP("BPS",A1:CV300,30,FALSE)-((-6*HLOOKUP("OG",A1:CV300,30,FALSE))+(-6*HLOOKUP("PK Miss",A1:CV300,30,FALSE))+(9*HLOOKUP("FPL As",A1:CV300,30,FALSE))+(0*HLOOKUP("CS",A1:CV300,30,FALSE))+(18*HLOOKUP("Gs",A1:CV300,30,FALSE)))</f>
      </c>
      <c r="K30" t="n" s="17561">
        <v>0.0</v>
      </c>
      <c r="L30" t="n" s="17562">
        <v>0.0</v>
      </c>
      <c r="M30" t="n" s="17563">
        <v>1.0</v>
      </c>
      <c r="N30" t="n" s="17564">
        <v>3.0</v>
      </c>
      <c r="O30" t="n" s="17565">
        <v>1.0</v>
      </c>
      <c r="P30" s="17566">
        <f>IF(HLOOKUP("Shots",A1:CV300,30,FALSE)=0,0,HLOOKUP("SIB",A1:CV300,30,FALSE)/HLOOKUP("Shots",A1:CV300,30,FALSE))</f>
      </c>
      <c r="Q30" t="n" s="17567">
        <v>1.0</v>
      </c>
      <c r="R30" s="17568">
        <f>IF(HLOOKUP("Shots",A1:CV300,30,FALSE)=0,0,HLOOKUP("S6YD",A1:CV300,30,FALSE)/HLOOKUP("Shots",A1:CV300,30,FALSE))</f>
      </c>
      <c r="S30" t="n" s="17569">
        <v>0.0</v>
      </c>
      <c r="T30" s="17570">
        <f>IF(HLOOKUP("Shots",A1:CV300,30,FALSE)=0,0,HLOOKUP("Headers",A1:CV300,30,FALSE)/HLOOKUP("Shots",A1:CV300,30,FALSE))</f>
      </c>
      <c r="U30" t="n" s="17571">
        <v>1.0</v>
      </c>
      <c r="V30" s="17572">
        <f>IF(HLOOKUP("Shots",A1:CV300,30,FALSE)=0,0,HLOOKUP("SOT",A1:CV300,30,FALSE)/HLOOKUP("Shots",A1:CV300,30,FALSE))</f>
      </c>
      <c r="W30" s="17573">
        <f>IF(HLOOKUP("Shots",A1:CV300,30,FALSE)=0,0,HLOOKUP("Gs",A1:CV300,30,FALSE)/HLOOKUP("Shots",A1:CV300,30,FALSE))</f>
      </c>
      <c r="X30" t="n" s="17574">
        <v>0.0</v>
      </c>
      <c r="Y30" t="n" s="17575">
        <v>0.0</v>
      </c>
      <c r="Z30" t="n" s="17576">
        <v>2.0</v>
      </c>
      <c r="AA30" s="17577">
        <f>IF(HLOOKUP("KP",A1:CV300,30,FALSE)=0,0,HLOOKUP("As",A1:CV300,30,FALSE)/HLOOKUP("KP",A1:CV300,30,FALSE))</f>
      </c>
      <c r="AB30" s="17578"/>
      <c r="AC30" t="n" s="17579">
        <v>33.0</v>
      </c>
      <c r="AD30" t="n" s="17580">
        <v>0.0</v>
      </c>
      <c r="AE30" t="n" s="17581">
        <v>1.0</v>
      </c>
      <c r="AF30" t="n" s="17582">
        <v>1.0</v>
      </c>
      <c r="AG30" s="17583">
        <f>IF(HLOOKUP("BC",A1:CV300,30,FALSE)=0,0,HLOOKUP("Gs - BC",A1:CV300,30,FALSE)/HLOOKUP("BC",A1:CV300,30,FALSE))</f>
      </c>
      <c r="AH30" s="17584">
        <f>HLOOKUP("BC",A1:CV300,30,FALSE) - HLOOKUP("BC Miss",A1:CV300,30,FALSE)</f>
      </c>
      <c r="AI30" s="17585">
        <f>IF(HLOOKUP("Gs",A1:CV300,30,FALSE)=0,0,HLOOKUP("Gs - BC",A1:CV300,30,FALSE)/HLOOKUP("Gs",A1:CV300,30,FALSE))</f>
      </c>
      <c r="AJ30" t="n" s="17586">
        <v>0.0</v>
      </c>
      <c r="AK30" t="n" s="17587">
        <v>0.0</v>
      </c>
      <c r="AL30" s="17588">
        <f>HLOOKUP("BC",A1:CV300,30,FALSE) - (HLOOKUP("PK Gs",A1:CV300,30,FALSE) + HLOOKUP("PK Miss",A1:CV300,30,FALSE))</f>
      </c>
      <c r="AM30" s="17589">
        <f>HLOOKUP("BC Miss",A1:CV300,30,FALSE) - HLOOKUP("PK Miss",A1:CV300,30,FALSE)</f>
      </c>
      <c r="AN30" s="17590">
        <f>IF(HLOOKUP("BC - Open",A1:CV300,30,FALSE)=0,0,HLOOKUP("BC - Open Miss",A1:CV300,30,FALSE)/HLOOKUP("BC - Open",A1:CV300,30,FALSE))</f>
      </c>
      <c r="AO30" t="n" s="17591">
        <v>0.0</v>
      </c>
      <c r="AP30" s="17592">
        <f>IF(HLOOKUP("Gs",A1:CV300,30,FALSE)=0,0,HLOOKUP("GIB",A1:CV300,30,FALSE)/HLOOKUP("Gs",A1:CV300,30,FALSE))</f>
      </c>
      <c r="AQ30" t="n" s="17593">
        <v>1.0</v>
      </c>
      <c r="AR30" s="17594">
        <f>IF(HLOOKUP("Gs",A1:CV300,30,FALSE)=0,0,HLOOKUP("Gs - Open",A1:CV300,30,FALSE)/HLOOKUP("Gs",A1:CV300,30,FALSE))</f>
      </c>
      <c r="AS30" t="n" s="17595">
        <v>0.23</v>
      </c>
      <c r="AT30" t="n" s="17596">
        <v>0.09</v>
      </c>
      <c r="AU30" s="17597">
        <f>IF(HLOOKUP("Mins",A1:CV300,30,FALSE)=0,0,HLOOKUP("Pts",A1:CV300,30,FALSE)/HLOOKUP("Mins",A1:CV300,30,FALSE)* 90)</f>
      </c>
      <c r="AV30" s="17598">
        <f>IF(HLOOKUP("Apps",A1:CV300,30,FALSE)=0,0,HLOOKUP("Pts",A1:CV300,30,FALSE)/HLOOKUP("Apps",A1:CV300,30,FALSE)* 1)</f>
      </c>
      <c r="AW30" s="17599">
        <f>IF(HLOOKUP("Mins",A1:CV300,30,FALSE)=0,0,HLOOKUP("Gs",A1:CV300,30,FALSE)/HLOOKUP("Mins",A1:CV300,30,FALSE)* 90)</f>
      </c>
      <c r="AX30" s="17600">
        <f>IF(HLOOKUP("Mins",A1:CV300,30,FALSE)=0,0,HLOOKUP("Bonus",A1:CV300,30,FALSE)/HLOOKUP("Mins",A1:CV300,30,FALSE)* 90)</f>
      </c>
      <c r="AY30" s="17601">
        <f>IF(HLOOKUP("Mins",A1:CV300,30,FALSE)=0,0,HLOOKUP("BPS",A1:CV300,30,FALSE)/HLOOKUP("Mins",A1:CV300,30,FALSE)* 90)</f>
      </c>
      <c r="AZ30" s="17602">
        <f>IF(HLOOKUP("Mins",A1:CV300,30,FALSE)=0,0,HLOOKUP("Base BPS",A1:CV300,30,FALSE)/HLOOKUP("Mins",A1:CV300,30,FALSE)* 90)</f>
      </c>
      <c r="BA30" s="17603">
        <f>IF(HLOOKUP("Mins",A1:CV300,30,FALSE)=0,0,HLOOKUP("PenTchs",A1:CV300,30,FALSE)/HLOOKUP("Mins",A1:CV300,30,FALSE)* 90)</f>
      </c>
      <c r="BB30" s="17604">
        <f>IF(HLOOKUP("Mins",A1:CV300,30,FALSE)=0,0,HLOOKUP("Shots",A1:CV300,30,FALSE)/HLOOKUP("Mins",A1:CV300,30,FALSE)* 90)</f>
      </c>
      <c r="BC30" s="17605">
        <f>IF(HLOOKUP("Mins",A1:CV300,30,FALSE)=0,0,HLOOKUP("SIB",A1:CV300,30,FALSE)/HLOOKUP("Mins",A1:CV300,30,FALSE)* 90)</f>
      </c>
      <c r="BD30" s="17606">
        <f>IF(HLOOKUP("Mins",A1:CV300,30,FALSE)=0,0,HLOOKUP("S6YD",A1:CV300,30,FALSE)/HLOOKUP("Mins",A1:CV300,30,FALSE)* 90)</f>
      </c>
      <c r="BE30" s="17607">
        <f>IF(HLOOKUP("Mins",A1:CV300,30,FALSE)=0,0,HLOOKUP("Headers",A1:CV300,30,FALSE)/HLOOKUP("Mins",A1:CV300,30,FALSE)* 90)</f>
      </c>
      <c r="BF30" s="17608">
        <f>IF(HLOOKUP("Mins",A1:CV300,30,FALSE)=0,0,HLOOKUP("SOT",A1:CV300,30,FALSE)/HLOOKUP("Mins",A1:CV300,30,FALSE)* 90)</f>
      </c>
      <c r="BG30" s="17609">
        <f>IF(HLOOKUP("Mins",A1:CV300,30,FALSE)=0,0,HLOOKUP("As",A1:CV300,30,FALSE)/HLOOKUP("Mins",A1:CV300,30,FALSE)* 90)</f>
      </c>
      <c r="BH30" s="17610">
        <f>IF(HLOOKUP("Mins",A1:CV300,30,FALSE)=0,0,HLOOKUP("FPL As",A1:CV300,30,FALSE)/HLOOKUP("Mins",A1:CV300,30,FALSE)* 90)</f>
      </c>
      <c r="BI30" s="17611">
        <f>IF(HLOOKUP("Mins",A1:CV300,30,FALSE)=0,0,HLOOKUP("BC Created",A1:CV300,30,FALSE)/HLOOKUP("Mins",A1:CV300,30,FALSE)* 90)</f>
      </c>
      <c r="BJ30" s="17612">
        <f>IF(HLOOKUP("Mins",A1:CV300,30,FALSE)=0,0,HLOOKUP("KP",A1:CV300,30,FALSE)/HLOOKUP("Mins",A1:CV300,30,FALSE)* 90)</f>
      </c>
      <c r="BK30" s="17613">
        <f>IF(HLOOKUP("Mins",A1:CV300,30,FALSE)=0,0,HLOOKUP("BC",A1:CV300,30,FALSE)/HLOOKUP("Mins",A1:CV300,30,FALSE)* 90)</f>
      </c>
      <c r="BL30" s="17614">
        <f>IF(HLOOKUP("Mins",A1:CV300,30,FALSE)=0,0,HLOOKUP("BC Miss",A1:CV300,30,FALSE)/HLOOKUP("Mins",A1:CV300,30,FALSE)* 90)</f>
      </c>
      <c r="BM30" s="17615">
        <f>IF(HLOOKUP("Mins",A1:CV300,30,FALSE)=0,0,HLOOKUP("Gs - BC",A1:CV300,30,FALSE)/HLOOKUP("Mins",A1:CV300,30,FALSE)* 90)</f>
      </c>
      <c r="BN30" s="17616">
        <f>IF(HLOOKUP("Mins",A1:CV300,30,FALSE)=0,0,HLOOKUP("GIB",A1:CV300,30,FALSE)/HLOOKUP("Mins",A1:CV300,30,FALSE)* 90)</f>
      </c>
      <c r="BO30" s="17617">
        <f>IF(HLOOKUP("Mins",A1:CV300,30,FALSE)=0,0,HLOOKUP("Gs - Open",A1:CV300,30,FALSE)/HLOOKUP("Mins",A1:CV300,30,FALSE)* 90)</f>
      </c>
      <c r="BP30" s="17618">
        <f>IF(HLOOKUP("Mins",A1:CV300,30,FALSE)=0,0,HLOOKUP("ICT Index",A1:CV300,30,FALSE)/HLOOKUP("Mins",A1:CV300,30,FALSE)* 90)</f>
      </c>
      <c r="BQ30" s="17619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</c>
      <c r="BR30" s="17620">
        <f>0.0885*HLOOKUP("KP/90",A1:CV300,30,FALSE)</f>
      </c>
      <c r="BS30" s="17621">
        <f>5*HLOOKUP("xG/90",A1:CV300,30,FALSE)+3*HLOOKUP("xA/90",A1:CV300,30,FALSE)</f>
      </c>
      <c r="BT30" s="17622">
        <f>HLOOKUP("xPts/90",A1:CV300,30,FALSE)-(5*0.75*(HLOOKUP("PK Gs",A1:CV300,30,FALSE)+HLOOKUP("PK Miss",A1:CV300,30,FALSE))*90/HLOOKUP("Mins",A1:CV300,30,FALSE))</f>
      </c>
      <c r="BU30" s="17623">
        <f>IF(HLOOKUP("Mins",A1:CV300,30,FALSE)=0,0,HLOOKUP("fsXG",A1:CV300,30,FALSE)/HLOOKUP("Mins",A1:CV300,30,FALSE)* 90)</f>
      </c>
      <c r="BV30" s="17624">
        <f>IF(HLOOKUP("Mins",A1:CV300,30,FALSE)=0,0,HLOOKUP("fsXA",A1:CV300,30,FALSE)/HLOOKUP("Mins",A1:CV300,30,FALSE)* 90)</f>
      </c>
      <c r="BW30" s="17625">
        <f>5*HLOOKUP("fsXG/90",A1:CV300,30,FALSE)+3*HLOOKUP("fsXA/90",A1:CV300,30,FALSE)</f>
      </c>
      <c r="BX30" t="n" s="17626">
        <v>0.16297252476215363</v>
      </c>
      <c r="BY30" t="n" s="17627">
        <v>0.04057600349187851</v>
      </c>
      <c r="BZ30" s="17628">
        <f>5*HLOOKUP("uXG/90",A1:CV300,30,FALSE)+3*HLOOKUP("uXA/90",A1:CV300,30,FALSE)</f>
      </c>
    </row>
    <row r="31">
      <c r="A31" t="s" s="17629">
        <v>322</v>
      </c>
      <c r="B31" t="s" s="17630">
        <v>96</v>
      </c>
      <c r="C31" t="n" s="17631">
        <v>4.599999904632568</v>
      </c>
      <c r="D31" t="n" s="17632">
        <v>115.0</v>
      </c>
      <c r="E31" t="n" s="17633">
        <v>2.0</v>
      </c>
      <c r="F31" t="n" s="17634">
        <v>13.0</v>
      </c>
      <c r="G31" t="n" s="17635">
        <v>0.0</v>
      </c>
      <c r="H31" t="n" s="17636">
        <v>0.0</v>
      </c>
      <c r="I31" t="n" s="17637">
        <v>46.0</v>
      </c>
      <c r="J31" s="17638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17639">
        <v>0.0</v>
      </c>
      <c r="L31" t="n" s="17640">
        <v>0.0</v>
      </c>
      <c r="M31" t="n" s="17641">
        <v>0.0</v>
      </c>
      <c r="N31" t="n" s="17642">
        <v>0.0</v>
      </c>
      <c r="O31" t="n" s="17643">
        <v>0.0</v>
      </c>
      <c r="P31" s="17644">
        <f>IF(HLOOKUP("Shots",A1:CV300,31,FALSE)=0,0,HLOOKUP("SIB",A1:CV300,31,FALSE)/HLOOKUP("Shots",A1:CV300,31,FALSE))</f>
      </c>
      <c r="Q31" t="n" s="17645">
        <v>0.0</v>
      </c>
      <c r="R31" s="17646">
        <f>IF(HLOOKUP("Shots",A1:CV300,31,FALSE)=0,0,HLOOKUP("S6YD",A1:CV300,31,FALSE)/HLOOKUP("Shots",A1:CV300,31,FALSE))</f>
      </c>
      <c r="S31" t="n" s="17647">
        <v>0.0</v>
      </c>
      <c r="T31" s="17648">
        <f>IF(HLOOKUP("Shots",A1:CV300,31,FALSE)=0,0,HLOOKUP("Headers",A1:CV300,31,FALSE)/HLOOKUP("Shots",A1:CV300,31,FALSE))</f>
      </c>
      <c r="U31" t="n" s="17649">
        <v>0.0</v>
      </c>
      <c r="V31" s="17650">
        <f>IF(HLOOKUP("Shots",A1:CV300,31,FALSE)=0,0,HLOOKUP("SOT",A1:CV300,31,FALSE)/HLOOKUP("Shots",A1:CV300,31,FALSE))</f>
      </c>
      <c r="W31" s="17651">
        <f>IF(HLOOKUP("Shots",A1:CV300,31,FALSE)=0,0,HLOOKUP("Gs",A1:CV300,31,FALSE)/HLOOKUP("Shots",A1:CV300,31,FALSE))</f>
      </c>
      <c r="X31" t="n" s="17652">
        <v>0.0</v>
      </c>
      <c r="Y31" t="n" s="17653">
        <v>0.0</v>
      </c>
      <c r="Z31" t="n" s="17654">
        <v>0.0</v>
      </c>
      <c r="AA31" s="17655">
        <f>IF(HLOOKUP("KP",A1:CV300,31,FALSE)=0,0,HLOOKUP("As",A1:CV300,31,FALSE)/HLOOKUP("KP",A1:CV300,31,FALSE))</f>
      </c>
      <c r="AB31" s="17656"/>
      <c r="AC31" t="n" s="17657">
        <v>0.0</v>
      </c>
      <c r="AD31" t="n" s="17658">
        <v>0.0</v>
      </c>
      <c r="AE31" t="n" s="17659">
        <v>0.0</v>
      </c>
      <c r="AF31" t="n" s="17660">
        <v>0.0</v>
      </c>
      <c r="AG31" s="17661">
        <f>IF(HLOOKUP("BC",A1:CV300,31,FALSE)=0,0,HLOOKUP("Gs - BC",A1:CV300,31,FALSE)/HLOOKUP("BC",A1:CV300,31,FALSE))</f>
      </c>
      <c r="AH31" s="17662">
        <f>HLOOKUP("BC",A1:CV300,31,FALSE) - HLOOKUP("BC Miss",A1:CV300,31,FALSE)</f>
      </c>
      <c r="AI31" s="17663">
        <f>IF(HLOOKUP("Gs",A1:CV300,31,FALSE)=0,0,HLOOKUP("Gs - BC",A1:CV300,31,FALSE)/HLOOKUP("Gs",A1:CV300,31,FALSE))</f>
      </c>
      <c r="AJ31" t="n" s="17664">
        <v>0.0</v>
      </c>
      <c r="AK31" t="n" s="17665">
        <v>0.0</v>
      </c>
      <c r="AL31" s="17666">
        <f>HLOOKUP("BC",A1:CV300,31,FALSE) - (HLOOKUP("PK Gs",A1:CV300,31,FALSE) + HLOOKUP("PK Miss",A1:CV300,31,FALSE))</f>
      </c>
      <c r="AM31" s="17667">
        <f>HLOOKUP("BC Miss",A1:CV300,31,FALSE) - HLOOKUP("PK Miss",A1:CV300,31,FALSE)</f>
      </c>
      <c r="AN31" s="17668">
        <f>IF(HLOOKUP("BC - Open",A1:CV300,31,FALSE)=0,0,HLOOKUP("BC - Open Miss",A1:CV300,31,FALSE)/HLOOKUP("BC - Open",A1:CV300,31,FALSE))</f>
      </c>
      <c r="AO31" t="n" s="17669">
        <v>0.0</v>
      </c>
      <c r="AP31" s="17670">
        <f>IF(HLOOKUP("Gs",A1:CV300,31,FALSE)=0,0,HLOOKUP("GIB",A1:CV300,31,FALSE)/HLOOKUP("Gs",A1:CV300,31,FALSE))</f>
      </c>
      <c r="AQ31" t="n" s="17671">
        <v>0.0</v>
      </c>
      <c r="AR31" s="17672">
        <f>IF(HLOOKUP("Gs",A1:CV300,31,FALSE)=0,0,HLOOKUP("Gs - Open",A1:CV300,31,FALSE)/HLOOKUP("Gs",A1:CV300,31,FALSE))</f>
      </c>
      <c r="AS31" t="n" s="17673">
        <v>0.0</v>
      </c>
      <c r="AT31" t="n" s="17674">
        <v>0.06</v>
      </c>
      <c r="AU31" s="17675">
        <f>IF(HLOOKUP("Mins",A1:CV300,31,FALSE)=0,0,HLOOKUP("Pts",A1:CV300,31,FALSE)/HLOOKUP("Mins",A1:CV300,31,FALSE)* 90)</f>
      </c>
      <c r="AV31" s="17676">
        <f>IF(HLOOKUP("Apps",A1:CV300,31,FALSE)=0,0,HLOOKUP("Pts",A1:CV300,31,FALSE)/HLOOKUP("Apps",A1:CV300,31,FALSE)* 1)</f>
      </c>
      <c r="AW31" s="17677">
        <f>IF(HLOOKUP("Mins",A1:CV300,31,FALSE)=0,0,HLOOKUP("Gs",A1:CV300,31,FALSE)/HLOOKUP("Mins",A1:CV300,31,FALSE)* 90)</f>
      </c>
      <c r="AX31" s="17678">
        <f>IF(HLOOKUP("Mins",A1:CV300,31,FALSE)=0,0,HLOOKUP("Bonus",A1:CV300,31,FALSE)/HLOOKUP("Mins",A1:CV300,31,FALSE)* 90)</f>
      </c>
      <c r="AY31" s="17679">
        <f>IF(HLOOKUP("Mins",A1:CV300,31,FALSE)=0,0,HLOOKUP("BPS",A1:CV300,31,FALSE)/HLOOKUP("Mins",A1:CV300,31,FALSE)* 90)</f>
      </c>
      <c r="AZ31" s="17680">
        <f>IF(HLOOKUP("Mins",A1:CV300,31,FALSE)=0,0,HLOOKUP("Base BPS",A1:CV300,31,FALSE)/HLOOKUP("Mins",A1:CV300,31,FALSE)* 90)</f>
      </c>
      <c r="BA31" s="17681">
        <f>IF(HLOOKUP("Mins",A1:CV300,31,FALSE)=0,0,HLOOKUP("PenTchs",A1:CV300,31,FALSE)/HLOOKUP("Mins",A1:CV300,31,FALSE)* 90)</f>
      </c>
      <c r="BB31" s="17682">
        <f>IF(HLOOKUP("Mins",A1:CV300,31,FALSE)=0,0,HLOOKUP("Shots",A1:CV300,31,FALSE)/HLOOKUP("Mins",A1:CV300,31,FALSE)* 90)</f>
      </c>
      <c r="BC31" s="17683">
        <f>IF(HLOOKUP("Mins",A1:CV300,31,FALSE)=0,0,HLOOKUP("SIB",A1:CV300,31,FALSE)/HLOOKUP("Mins",A1:CV300,31,FALSE)* 90)</f>
      </c>
      <c r="BD31" s="17684">
        <f>IF(HLOOKUP("Mins",A1:CV300,31,FALSE)=0,0,HLOOKUP("S6YD",A1:CV300,31,FALSE)/HLOOKUP("Mins",A1:CV300,31,FALSE)* 90)</f>
      </c>
      <c r="BE31" s="17685">
        <f>IF(HLOOKUP("Mins",A1:CV300,31,FALSE)=0,0,HLOOKUP("Headers",A1:CV300,31,FALSE)/HLOOKUP("Mins",A1:CV300,31,FALSE)* 90)</f>
      </c>
      <c r="BF31" s="17686">
        <f>IF(HLOOKUP("Mins",A1:CV300,31,FALSE)=0,0,HLOOKUP("SOT",A1:CV300,31,FALSE)/HLOOKUP("Mins",A1:CV300,31,FALSE)* 90)</f>
      </c>
      <c r="BG31" s="17687">
        <f>IF(HLOOKUP("Mins",A1:CV300,31,FALSE)=0,0,HLOOKUP("As",A1:CV300,31,FALSE)/HLOOKUP("Mins",A1:CV300,31,FALSE)* 90)</f>
      </c>
      <c r="BH31" s="17688">
        <f>IF(HLOOKUP("Mins",A1:CV300,31,FALSE)=0,0,HLOOKUP("FPL As",A1:CV300,31,FALSE)/HLOOKUP("Mins",A1:CV300,31,FALSE)* 90)</f>
      </c>
      <c r="BI31" s="17689">
        <f>IF(HLOOKUP("Mins",A1:CV300,31,FALSE)=0,0,HLOOKUP("BC Created",A1:CV300,31,FALSE)/HLOOKUP("Mins",A1:CV300,31,FALSE)* 90)</f>
      </c>
      <c r="BJ31" s="17690">
        <f>IF(HLOOKUP("Mins",A1:CV300,31,FALSE)=0,0,HLOOKUP("KP",A1:CV300,31,FALSE)/HLOOKUP("Mins",A1:CV300,31,FALSE)* 90)</f>
      </c>
      <c r="BK31" s="17691">
        <f>IF(HLOOKUP("Mins",A1:CV300,31,FALSE)=0,0,HLOOKUP("BC",A1:CV300,31,FALSE)/HLOOKUP("Mins",A1:CV300,31,FALSE)* 90)</f>
      </c>
      <c r="BL31" s="17692">
        <f>IF(HLOOKUP("Mins",A1:CV300,31,FALSE)=0,0,HLOOKUP("BC Miss",A1:CV300,31,FALSE)/HLOOKUP("Mins",A1:CV300,31,FALSE)* 90)</f>
      </c>
      <c r="BM31" s="17693">
        <f>IF(HLOOKUP("Mins",A1:CV300,31,FALSE)=0,0,HLOOKUP("Gs - BC",A1:CV300,31,FALSE)/HLOOKUP("Mins",A1:CV300,31,FALSE)* 90)</f>
      </c>
      <c r="BN31" s="17694">
        <f>IF(HLOOKUP("Mins",A1:CV300,31,FALSE)=0,0,HLOOKUP("GIB",A1:CV300,31,FALSE)/HLOOKUP("Mins",A1:CV300,31,FALSE)* 90)</f>
      </c>
      <c r="BO31" s="17695">
        <f>IF(HLOOKUP("Mins",A1:CV300,31,FALSE)=0,0,HLOOKUP("Gs - Open",A1:CV300,31,FALSE)/HLOOKUP("Mins",A1:CV300,31,FALSE)* 90)</f>
      </c>
      <c r="BP31" s="17696">
        <f>IF(HLOOKUP("Mins",A1:CV300,31,FALSE)=0,0,HLOOKUP("ICT Index",A1:CV300,31,FALSE)/HLOOKUP("Mins",A1:CV300,31,FALSE)* 90)</f>
      </c>
      <c r="BQ31" s="17697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17698">
        <f>0.0885*HLOOKUP("KP/90",A1:CV300,31,FALSE)</f>
      </c>
      <c r="BS31" s="17699">
        <f>5*HLOOKUP("xG/90",A1:CV300,31,FALSE)+3*HLOOKUP("xA/90",A1:CV300,31,FALSE)</f>
      </c>
      <c r="BT31" s="17700">
        <f>HLOOKUP("xPts/90",A1:CV300,31,FALSE)-(5*0.75*(HLOOKUP("PK Gs",A1:CV300,31,FALSE)+HLOOKUP("PK Miss",A1:CV300,31,FALSE))*90/HLOOKUP("Mins",A1:CV300,31,FALSE))</f>
      </c>
      <c r="BU31" s="17701">
        <f>IF(HLOOKUP("Mins",A1:CV300,31,FALSE)=0,0,HLOOKUP("fsXG",A1:CV300,31,FALSE)/HLOOKUP("Mins",A1:CV300,31,FALSE)* 90)</f>
      </c>
      <c r="BV31" s="17702">
        <f>IF(HLOOKUP("Mins",A1:CV300,31,FALSE)=0,0,HLOOKUP("fsXA",A1:CV300,31,FALSE)/HLOOKUP("Mins",A1:CV300,31,FALSE)* 90)</f>
      </c>
      <c r="BW31" s="17703">
        <f>5*HLOOKUP("fsXG/90",A1:CV300,31,FALSE)+3*HLOOKUP("fsXA/90",A1:CV300,31,FALSE)</f>
      </c>
      <c r="BX31" t="n" s="17704">
        <v>0.0</v>
      </c>
      <c r="BY31" t="n" s="17705">
        <v>0.0</v>
      </c>
      <c r="BZ31" s="17706">
        <f>5*HLOOKUP("uXG/90",A1:CV300,31,FALSE)+3*HLOOKUP("uXA/90",A1:CV300,31,FALSE)</f>
      </c>
    </row>
    <row r="32">
      <c r="A32" t="s" s="17707">
        <v>323</v>
      </c>
      <c r="B32" t="s" s="17708">
        <v>94</v>
      </c>
      <c r="C32" t="n" s="17709">
        <v>5.699999809265137</v>
      </c>
      <c r="D32" t="n" s="17710">
        <v>52.0</v>
      </c>
      <c r="E32" t="n" s="17711">
        <v>3.0</v>
      </c>
      <c r="F32" t="n" s="17712">
        <v>35.0</v>
      </c>
      <c r="G32" t="n" s="17713">
        <v>0.0</v>
      </c>
      <c r="H32" t="n" s="17714">
        <v>2.0</v>
      </c>
      <c r="I32" t="n" s="17715">
        <v>141.0</v>
      </c>
      <c r="J32" s="17716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17717">
        <v>0.0</v>
      </c>
      <c r="L32" t="n" s="17718">
        <v>1.0</v>
      </c>
      <c r="M32" t="n" s="17719">
        <v>1.0</v>
      </c>
      <c r="N32" t="n" s="17720">
        <v>2.0</v>
      </c>
      <c r="O32" t="n" s="17721">
        <v>0.0</v>
      </c>
      <c r="P32" s="17722">
        <f>IF(HLOOKUP("Shots",A1:CV300,32,FALSE)=0,0,HLOOKUP("SIB",A1:CV300,32,FALSE)/HLOOKUP("Shots",A1:CV300,32,FALSE))</f>
      </c>
      <c r="Q32" t="n" s="17723">
        <v>0.0</v>
      </c>
      <c r="R32" s="17724">
        <f>IF(HLOOKUP("Shots",A1:CV300,32,FALSE)=0,0,HLOOKUP("S6YD",A1:CV300,32,FALSE)/HLOOKUP("Shots",A1:CV300,32,FALSE))</f>
      </c>
      <c r="S32" t="n" s="17725">
        <v>0.0</v>
      </c>
      <c r="T32" s="17726">
        <f>IF(HLOOKUP("Shots",A1:CV300,32,FALSE)=0,0,HLOOKUP("Headers",A1:CV300,32,FALSE)/HLOOKUP("Shots",A1:CV300,32,FALSE))</f>
      </c>
      <c r="U32" t="n" s="17727">
        <v>2.0</v>
      </c>
      <c r="V32" s="17728">
        <f>IF(HLOOKUP("Shots",A1:CV300,32,FALSE)=0,0,HLOOKUP("SOT",A1:CV300,32,FALSE)/HLOOKUP("Shots",A1:CV300,32,FALSE))</f>
      </c>
      <c r="W32" s="17729">
        <f>IF(HLOOKUP("Shots",A1:CV300,32,FALSE)=0,0,HLOOKUP("Gs",A1:CV300,32,FALSE)/HLOOKUP("Shots",A1:CV300,32,FALSE))</f>
      </c>
      <c r="X32" t="n" s="17730">
        <v>0.0</v>
      </c>
      <c r="Y32" t="n" s="17731">
        <v>2.0</v>
      </c>
      <c r="Z32" t="n" s="17732">
        <v>0.0</v>
      </c>
      <c r="AA32" s="17733">
        <f>IF(HLOOKUP("KP",A1:CV300,32,FALSE)=0,0,HLOOKUP("As",A1:CV300,32,FALSE)/HLOOKUP("KP",A1:CV300,32,FALSE))</f>
      </c>
      <c r="AB32" s="17734"/>
      <c r="AC32" t="n" s="17735">
        <v>0.0</v>
      </c>
      <c r="AD32" t="n" s="17736">
        <v>0.0</v>
      </c>
      <c r="AE32" t="n" s="17737">
        <v>0.0</v>
      </c>
      <c r="AF32" t="n" s="17738">
        <v>0.0</v>
      </c>
      <c r="AG32" s="17739">
        <f>IF(HLOOKUP("BC",A1:CV300,32,FALSE)=0,0,HLOOKUP("Gs - BC",A1:CV300,32,FALSE)/HLOOKUP("BC",A1:CV300,32,FALSE))</f>
      </c>
      <c r="AH32" s="17740">
        <f>HLOOKUP("BC",A1:CV300,32,FALSE) - HLOOKUP("BC Miss",A1:CV300,32,FALSE)</f>
      </c>
      <c r="AI32" s="17741">
        <f>IF(HLOOKUP("Gs",A1:CV300,32,FALSE)=0,0,HLOOKUP("Gs - BC",A1:CV300,32,FALSE)/HLOOKUP("Gs",A1:CV300,32,FALSE))</f>
      </c>
      <c r="AJ32" t="n" s="17742">
        <v>0.0</v>
      </c>
      <c r="AK32" t="n" s="17743">
        <v>0.0</v>
      </c>
      <c r="AL32" s="17744">
        <f>HLOOKUP("BC",A1:CV300,32,FALSE) - (HLOOKUP("PK Gs",A1:CV300,32,FALSE) + HLOOKUP("PK Miss",A1:CV300,32,FALSE))</f>
      </c>
      <c r="AM32" s="17745">
        <f>HLOOKUP("BC Miss",A1:CV300,32,FALSE) - HLOOKUP("PK Miss",A1:CV300,32,FALSE)</f>
      </c>
      <c r="AN32" s="17746">
        <f>IF(HLOOKUP("BC - Open",A1:CV300,32,FALSE)=0,0,HLOOKUP("BC - Open Miss",A1:CV300,32,FALSE)/HLOOKUP("BC - Open",A1:CV300,32,FALSE))</f>
      </c>
      <c r="AO32" t="n" s="17747">
        <v>0.0</v>
      </c>
      <c r="AP32" s="17748">
        <f>IF(HLOOKUP("Gs",A1:CV300,32,FALSE)=0,0,HLOOKUP("GIB",A1:CV300,32,FALSE)/HLOOKUP("Gs",A1:CV300,32,FALSE))</f>
      </c>
      <c r="AQ32" t="n" s="17749">
        <v>0.0</v>
      </c>
      <c r="AR32" s="17750">
        <f>IF(HLOOKUP("Gs",A1:CV300,32,FALSE)=0,0,HLOOKUP("Gs - Open",A1:CV300,32,FALSE)/HLOOKUP("Gs",A1:CV300,32,FALSE))</f>
      </c>
      <c r="AS32" t="n" s="17751">
        <v>0.07</v>
      </c>
      <c r="AT32" t="n" s="17752">
        <v>0.02</v>
      </c>
      <c r="AU32" s="17753">
        <f>IF(HLOOKUP("Mins",A1:CV300,32,FALSE)=0,0,HLOOKUP("Pts",A1:CV300,32,FALSE)/HLOOKUP("Mins",A1:CV300,32,FALSE)* 90)</f>
      </c>
      <c r="AV32" s="17754">
        <f>IF(HLOOKUP("Apps",A1:CV300,32,FALSE)=0,0,HLOOKUP("Pts",A1:CV300,32,FALSE)/HLOOKUP("Apps",A1:CV300,32,FALSE)* 1)</f>
      </c>
      <c r="AW32" s="17755">
        <f>IF(HLOOKUP("Mins",A1:CV300,32,FALSE)=0,0,HLOOKUP("Gs",A1:CV300,32,FALSE)/HLOOKUP("Mins",A1:CV300,32,FALSE)* 90)</f>
      </c>
      <c r="AX32" s="17756">
        <f>IF(HLOOKUP("Mins",A1:CV300,32,FALSE)=0,0,HLOOKUP("Bonus",A1:CV300,32,FALSE)/HLOOKUP("Mins",A1:CV300,32,FALSE)* 90)</f>
      </c>
      <c r="AY32" s="17757">
        <f>IF(HLOOKUP("Mins",A1:CV300,32,FALSE)=0,0,HLOOKUP("BPS",A1:CV300,32,FALSE)/HLOOKUP("Mins",A1:CV300,32,FALSE)* 90)</f>
      </c>
      <c r="AZ32" s="17758">
        <f>IF(HLOOKUP("Mins",A1:CV300,32,FALSE)=0,0,HLOOKUP("Base BPS",A1:CV300,32,FALSE)/HLOOKUP("Mins",A1:CV300,32,FALSE)* 90)</f>
      </c>
      <c r="BA32" s="17759">
        <f>IF(HLOOKUP("Mins",A1:CV300,32,FALSE)=0,0,HLOOKUP("PenTchs",A1:CV300,32,FALSE)/HLOOKUP("Mins",A1:CV300,32,FALSE)* 90)</f>
      </c>
      <c r="BB32" s="17760">
        <f>IF(HLOOKUP("Mins",A1:CV300,32,FALSE)=0,0,HLOOKUP("Shots",A1:CV300,32,FALSE)/HLOOKUP("Mins",A1:CV300,32,FALSE)* 90)</f>
      </c>
      <c r="BC32" s="17761">
        <f>IF(HLOOKUP("Mins",A1:CV300,32,FALSE)=0,0,HLOOKUP("SIB",A1:CV300,32,FALSE)/HLOOKUP("Mins",A1:CV300,32,FALSE)* 90)</f>
      </c>
      <c r="BD32" s="17762">
        <f>IF(HLOOKUP("Mins",A1:CV300,32,FALSE)=0,0,HLOOKUP("S6YD",A1:CV300,32,FALSE)/HLOOKUP("Mins",A1:CV300,32,FALSE)* 90)</f>
      </c>
      <c r="BE32" s="17763">
        <f>IF(HLOOKUP("Mins",A1:CV300,32,FALSE)=0,0,HLOOKUP("Headers",A1:CV300,32,FALSE)/HLOOKUP("Mins",A1:CV300,32,FALSE)* 90)</f>
      </c>
      <c r="BF32" s="17764">
        <f>IF(HLOOKUP("Mins",A1:CV300,32,FALSE)=0,0,HLOOKUP("SOT",A1:CV300,32,FALSE)/HLOOKUP("Mins",A1:CV300,32,FALSE)* 90)</f>
      </c>
      <c r="BG32" s="17765">
        <f>IF(HLOOKUP("Mins",A1:CV300,32,FALSE)=0,0,HLOOKUP("As",A1:CV300,32,FALSE)/HLOOKUP("Mins",A1:CV300,32,FALSE)* 90)</f>
      </c>
      <c r="BH32" s="17766">
        <f>IF(HLOOKUP("Mins",A1:CV300,32,FALSE)=0,0,HLOOKUP("FPL As",A1:CV300,32,FALSE)/HLOOKUP("Mins",A1:CV300,32,FALSE)* 90)</f>
      </c>
      <c r="BI32" s="17767">
        <f>IF(HLOOKUP("Mins",A1:CV300,32,FALSE)=0,0,HLOOKUP("BC Created",A1:CV300,32,FALSE)/HLOOKUP("Mins",A1:CV300,32,FALSE)* 90)</f>
      </c>
      <c r="BJ32" s="17768">
        <f>IF(HLOOKUP("Mins",A1:CV300,32,FALSE)=0,0,HLOOKUP("KP",A1:CV300,32,FALSE)/HLOOKUP("Mins",A1:CV300,32,FALSE)* 90)</f>
      </c>
      <c r="BK32" s="17769">
        <f>IF(HLOOKUP("Mins",A1:CV300,32,FALSE)=0,0,HLOOKUP("BC",A1:CV300,32,FALSE)/HLOOKUP("Mins",A1:CV300,32,FALSE)* 90)</f>
      </c>
      <c r="BL32" s="17770">
        <f>IF(HLOOKUP("Mins",A1:CV300,32,FALSE)=0,0,HLOOKUP("BC Miss",A1:CV300,32,FALSE)/HLOOKUP("Mins",A1:CV300,32,FALSE)* 90)</f>
      </c>
      <c r="BM32" s="17771">
        <f>IF(HLOOKUP("Mins",A1:CV300,32,FALSE)=0,0,HLOOKUP("Gs - BC",A1:CV300,32,FALSE)/HLOOKUP("Mins",A1:CV300,32,FALSE)* 90)</f>
      </c>
      <c r="BN32" s="17772">
        <f>IF(HLOOKUP("Mins",A1:CV300,32,FALSE)=0,0,HLOOKUP("GIB",A1:CV300,32,FALSE)/HLOOKUP("Mins",A1:CV300,32,FALSE)* 90)</f>
      </c>
      <c r="BO32" s="17773">
        <f>IF(HLOOKUP("Mins",A1:CV300,32,FALSE)=0,0,HLOOKUP("Gs - Open",A1:CV300,32,FALSE)/HLOOKUP("Mins",A1:CV300,32,FALSE)* 90)</f>
      </c>
      <c r="BP32" s="17774">
        <f>IF(HLOOKUP("Mins",A1:CV300,32,FALSE)=0,0,HLOOKUP("ICT Index",A1:CV300,32,FALSE)/HLOOKUP("Mins",A1:CV300,32,FALSE)* 90)</f>
      </c>
      <c r="BQ32" s="17775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17776">
        <f>0.0885*HLOOKUP("KP/90",A1:CV300,32,FALSE)</f>
      </c>
      <c r="BS32" s="17777">
        <f>5*HLOOKUP("xG/90",A1:CV300,32,FALSE)+3*HLOOKUP("xA/90",A1:CV300,32,FALSE)</f>
      </c>
      <c r="BT32" s="17778">
        <f>HLOOKUP("xPts/90",A1:CV300,32,FALSE)-(5*0.75*(HLOOKUP("PK Gs",A1:CV300,32,FALSE)+HLOOKUP("PK Miss",A1:CV300,32,FALSE))*90/HLOOKUP("Mins",A1:CV300,32,FALSE))</f>
      </c>
      <c r="BU32" s="17779">
        <f>IF(HLOOKUP("Mins",A1:CV300,32,FALSE)=0,0,HLOOKUP("fsXG",A1:CV300,32,FALSE)/HLOOKUP("Mins",A1:CV300,32,FALSE)* 90)</f>
      </c>
      <c r="BV32" s="17780">
        <f>IF(HLOOKUP("Mins",A1:CV300,32,FALSE)=0,0,HLOOKUP("fsXA",A1:CV300,32,FALSE)/HLOOKUP("Mins",A1:CV300,32,FALSE)* 90)</f>
      </c>
      <c r="BW32" s="17781">
        <f>5*HLOOKUP("fsXG/90",A1:CV300,32,FALSE)+3*HLOOKUP("fsXA/90",A1:CV300,32,FALSE)</f>
      </c>
      <c r="BX32" t="n" s="17782">
        <v>0.07461478561162949</v>
      </c>
      <c r="BY32" t="n" s="17783">
        <v>0.0</v>
      </c>
      <c r="BZ32" s="17784">
        <f>5*HLOOKUP("uXG/90",A1:CV300,32,FALSE)+3*HLOOKUP("uXA/90",A1:CV300,32,FALSE)</f>
      </c>
    </row>
    <row r="33">
      <c r="A33" t="s" s="17785">
        <v>324</v>
      </c>
      <c r="B33" t="s" s="17786">
        <v>105</v>
      </c>
      <c r="C33" t="n" s="17787">
        <v>7.800000190734863</v>
      </c>
      <c r="D33" t="n" s="17788">
        <v>276.0</v>
      </c>
      <c r="E33" t="n" s="17789">
        <v>4.0</v>
      </c>
      <c r="F33" t="n" s="17790">
        <v>72.0</v>
      </c>
      <c r="G33" t="n" s="17791">
        <v>0.0</v>
      </c>
      <c r="H33" t="n" s="17792">
        <v>5.0</v>
      </c>
      <c r="I33" t="n" s="17793">
        <v>321.0</v>
      </c>
      <c r="J33" s="17794">
        <f>HLOOKUP("BPS",A1:CV300,33,FALSE)-((-6*HLOOKUP("OG",A1:CV300,33,FALSE))+(-6*HLOOKUP("PK Miss",A1:CV300,33,FALSE))+(9*HLOOKUP("FPL As",A1:CV300,33,FALSE))+(0*HLOOKUP("CS",A1:CV300,33,FALSE))+(18*HLOOKUP("Gs",A1:CV300,33,FALSE)))</f>
      </c>
      <c r="K33" t="n" s="17795">
        <v>0.0</v>
      </c>
      <c r="L33" t="n" s="17796">
        <v>4.0</v>
      </c>
      <c r="M33" t="n" s="17797">
        <v>7.0</v>
      </c>
      <c r="N33" t="n" s="17798">
        <v>1.0</v>
      </c>
      <c r="O33" t="n" s="17799">
        <v>0.0</v>
      </c>
      <c r="P33" s="17800">
        <f>IF(HLOOKUP("Shots",A1:CV300,33,FALSE)=0,0,HLOOKUP("SIB",A1:CV300,33,FALSE)/HLOOKUP("Shots",A1:CV300,33,FALSE))</f>
      </c>
      <c r="Q33" t="n" s="17801">
        <v>0.0</v>
      </c>
      <c r="R33" s="17802">
        <f>IF(HLOOKUP("Shots",A1:CV300,33,FALSE)=0,0,HLOOKUP("S6YD",A1:CV300,33,FALSE)/HLOOKUP("Shots",A1:CV300,33,FALSE))</f>
      </c>
      <c r="S33" t="n" s="17803">
        <v>0.0</v>
      </c>
      <c r="T33" s="17804">
        <f>IF(HLOOKUP("Shots",A1:CV300,33,FALSE)=0,0,HLOOKUP("Headers",A1:CV300,33,FALSE)/HLOOKUP("Shots",A1:CV300,33,FALSE))</f>
      </c>
      <c r="U33" t="n" s="17805">
        <v>0.0</v>
      </c>
      <c r="V33" s="17806">
        <f>IF(HLOOKUP("Shots",A1:CV300,33,FALSE)=0,0,HLOOKUP("SOT",A1:CV300,33,FALSE)/HLOOKUP("Shots",A1:CV300,33,FALSE))</f>
      </c>
      <c r="W33" s="17807">
        <f>IF(HLOOKUP("Shots",A1:CV300,33,FALSE)=0,0,HLOOKUP("Gs",A1:CV300,33,FALSE)/HLOOKUP("Shots",A1:CV300,33,FALSE))</f>
      </c>
      <c r="X33" t="n" s="17808">
        <v>0.0</v>
      </c>
      <c r="Y33" t="n" s="17809">
        <v>4.0</v>
      </c>
      <c r="Z33" t="n" s="17810">
        <v>5.0</v>
      </c>
      <c r="AA33" s="17811">
        <f>IF(HLOOKUP("KP",A1:CV300,33,FALSE)=0,0,HLOOKUP("As",A1:CV300,33,FALSE)/HLOOKUP("KP",A1:CV300,33,FALSE))</f>
      </c>
      <c r="AB33" s="17812"/>
      <c r="AC33" t="n" s="17813">
        <v>0.0</v>
      </c>
      <c r="AD33" t="n" s="17814">
        <v>0.0</v>
      </c>
      <c r="AE33" t="n" s="17815">
        <v>0.0</v>
      </c>
      <c r="AF33" t="n" s="17816">
        <v>0.0</v>
      </c>
      <c r="AG33" s="17817">
        <f>IF(HLOOKUP("BC",A1:CV300,33,FALSE)=0,0,HLOOKUP("Gs - BC",A1:CV300,33,FALSE)/HLOOKUP("BC",A1:CV300,33,FALSE))</f>
      </c>
      <c r="AH33" s="17818">
        <f>HLOOKUP("BC",A1:CV300,33,FALSE) - HLOOKUP("BC Miss",A1:CV300,33,FALSE)</f>
      </c>
      <c r="AI33" s="17819">
        <f>IF(HLOOKUP("Gs",A1:CV300,33,FALSE)=0,0,HLOOKUP("Gs - BC",A1:CV300,33,FALSE)/HLOOKUP("Gs",A1:CV300,33,FALSE))</f>
      </c>
      <c r="AJ33" t="n" s="17820">
        <v>0.0</v>
      </c>
      <c r="AK33" t="n" s="17821">
        <v>0.0</v>
      </c>
      <c r="AL33" s="17822">
        <f>HLOOKUP("BC",A1:CV300,33,FALSE) - (HLOOKUP("PK Gs",A1:CV300,33,FALSE) + HLOOKUP("PK Miss",A1:CV300,33,FALSE))</f>
      </c>
      <c r="AM33" s="17823">
        <f>HLOOKUP("BC Miss",A1:CV300,33,FALSE) - HLOOKUP("PK Miss",A1:CV300,33,FALSE)</f>
      </c>
      <c r="AN33" s="17824">
        <f>IF(HLOOKUP("BC - Open",A1:CV300,33,FALSE)=0,0,HLOOKUP("BC - Open Miss",A1:CV300,33,FALSE)/HLOOKUP("BC - Open",A1:CV300,33,FALSE))</f>
      </c>
      <c r="AO33" t="n" s="17825">
        <v>0.0</v>
      </c>
      <c r="AP33" s="17826">
        <f>IF(HLOOKUP("Gs",A1:CV300,33,FALSE)=0,0,HLOOKUP("GIB",A1:CV300,33,FALSE)/HLOOKUP("Gs",A1:CV300,33,FALSE))</f>
      </c>
      <c r="AQ33" t="n" s="17827">
        <v>0.0</v>
      </c>
      <c r="AR33" s="17828">
        <f>IF(HLOOKUP("Gs",A1:CV300,33,FALSE)=0,0,HLOOKUP("Gs - Open",A1:CV300,33,FALSE)/HLOOKUP("Gs",A1:CV300,33,FALSE))</f>
      </c>
      <c r="AS33" t="n" s="17829">
        <v>0.04</v>
      </c>
      <c r="AT33" t="n" s="17830">
        <v>0.14</v>
      </c>
      <c r="AU33" s="17831">
        <f>IF(HLOOKUP("Mins",A1:CV300,33,FALSE)=0,0,HLOOKUP("Pts",A1:CV300,33,FALSE)/HLOOKUP("Mins",A1:CV300,33,FALSE)* 90)</f>
      </c>
      <c r="AV33" s="17832">
        <f>IF(HLOOKUP("Apps",A1:CV300,33,FALSE)=0,0,HLOOKUP("Pts",A1:CV300,33,FALSE)/HLOOKUP("Apps",A1:CV300,33,FALSE)* 1)</f>
      </c>
      <c r="AW33" s="17833">
        <f>IF(HLOOKUP("Mins",A1:CV300,33,FALSE)=0,0,HLOOKUP("Gs",A1:CV300,33,FALSE)/HLOOKUP("Mins",A1:CV300,33,FALSE)* 90)</f>
      </c>
      <c r="AX33" s="17834">
        <f>IF(HLOOKUP("Mins",A1:CV300,33,FALSE)=0,0,HLOOKUP("Bonus",A1:CV300,33,FALSE)/HLOOKUP("Mins",A1:CV300,33,FALSE)* 90)</f>
      </c>
      <c r="AY33" s="17835">
        <f>IF(HLOOKUP("Mins",A1:CV300,33,FALSE)=0,0,HLOOKUP("BPS",A1:CV300,33,FALSE)/HLOOKUP("Mins",A1:CV300,33,FALSE)* 90)</f>
      </c>
      <c r="AZ33" s="17836">
        <f>IF(HLOOKUP("Mins",A1:CV300,33,FALSE)=0,0,HLOOKUP("Base BPS",A1:CV300,33,FALSE)/HLOOKUP("Mins",A1:CV300,33,FALSE)* 90)</f>
      </c>
      <c r="BA33" s="17837">
        <f>IF(HLOOKUP("Mins",A1:CV300,33,FALSE)=0,0,HLOOKUP("PenTchs",A1:CV300,33,FALSE)/HLOOKUP("Mins",A1:CV300,33,FALSE)* 90)</f>
      </c>
      <c r="BB33" s="17838">
        <f>IF(HLOOKUP("Mins",A1:CV300,33,FALSE)=0,0,HLOOKUP("Shots",A1:CV300,33,FALSE)/HLOOKUP("Mins",A1:CV300,33,FALSE)* 90)</f>
      </c>
      <c r="BC33" s="17839">
        <f>IF(HLOOKUP("Mins",A1:CV300,33,FALSE)=0,0,HLOOKUP("SIB",A1:CV300,33,FALSE)/HLOOKUP("Mins",A1:CV300,33,FALSE)* 90)</f>
      </c>
      <c r="BD33" s="17840">
        <f>IF(HLOOKUP("Mins",A1:CV300,33,FALSE)=0,0,HLOOKUP("S6YD",A1:CV300,33,FALSE)/HLOOKUP("Mins",A1:CV300,33,FALSE)* 90)</f>
      </c>
      <c r="BE33" s="17841">
        <f>IF(HLOOKUP("Mins",A1:CV300,33,FALSE)=0,0,HLOOKUP("Headers",A1:CV300,33,FALSE)/HLOOKUP("Mins",A1:CV300,33,FALSE)* 90)</f>
      </c>
      <c r="BF33" s="17842">
        <f>IF(HLOOKUP("Mins",A1:CV300,33,FALSE)=0,0,HLOOKUP("SOT",A1:CV300,33,FALSE)/HLOOKUP("Mins",A1:CV300,33,FALSE)* 90)</f>
      </c>
      <c r="BG33" s="17843">
        <f>IF(HLOOKUP("Mins",A1:CV300,33,FALSE)=0,0,HLOOKUP("As",A1:CV300,33,FALSE)/HLOOKUP("Mins",A1:CV300,33,FALSE)* 90)</f>
      </c>
      <c r="BH33" s="17844">
        <f>IF(HLOOKUP("Mins",A1:CV300,33,FALSE)=0,0,HLOOKUP("FPL As",A1:CV300,33,FALSE)/HLOOKUP("Mins",A1:CV300,33,FALSE)* 90)</f>
      </c>
      <c r="BI33" s="17845">
        <f>IF(HLOOKUP("Mins",A1:CV300,33,FALSE)=0,0,HLOOKUP("BC Created",A1:CV300,33,FALSE)/HLOOKUP("Mins",A1:CV300,33,FALSE)* 90)</f>
      </c>
      <c r="BJ33" s="17846">
        <f>IF(HLOOKUP("Mins",A1:CV300,33,FALSE)=0,0,HLOOKUP("KP",A1:CV300,33,FALSE)/HLOOKUP("Mins",A1:CV300,33,FALSE)* 90)</f>
      </c>
      <c r="BK33" s="17847">
        <f>IF(HLOOKUP("Mins",A1:CV300,33,FALSE)=0,0,HLOOKUP("BC",A1:CV300,33,FALSE)/HLOOKUP("Mins",A1:CV300,33,FALSE)* 90)</f>
      </c>
      <c r="BL33" s="17848">
        <f>IF(HLOOKUP("Mins",A1:CV300,33,FALSE)=0,0,HLOOKUP("BC Miss",A1:CV300,33,FALSE)/HLOOKUP("Mins",A1:CV300,33,FALSE)* 90)</f>
      </c>
      <c r="BM33" s="17849">
        <f>IF(HLOOKUP("Mins",A1:CV300,33,FALSE)=0,0,HLOOKUP("Gs - BC",A1:CV300,33,FALSE)/HLOOKUP("Mins",A1:CV300,33,FALSE)* 90)</f>
      </c>
      <c r="BN33" s="17850">
        <f>IF(HLOOKUP("Mins",A1:CV300,33,FALSE)=0,0,HLOOKUP("GIB",A1:CV300,33,FALSE)/HLOOKUP("Mins",A1:CV300,33,FALSE)* 90)</f>
      </c>
      <c r="BO33" s="17851">
        <f>IF(HLOOKUP("Mins",A1:CV300,33,FALSE)=0,0,HLOOKUP("Gs - Open",A1:CV300,33,FALSE)/HLOOKUP("Mins",A1:CV300,33,FALSE)* 90)</f>
      </c>
      <c r="BP33" s="17852">
        <f>IF(HLOOKUP("Mins",A1:CV300,33,FALSE)=0,0,HLOOKUP("ICT Index",A1:CV300,33,FALSE)/HLOOKUP("Mins",A1:CV300,33,FALSE)* 90)</f>
      </c>
      <c r="BQ33" s="17853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</c>
      <c r="BR33" s="17854">
        <f>0.0885*HLOOKUP("KP/90",A1:CV300,33,FALSE)</f>
      </c>
      <c r="BS33" s="17855">
        <f>5*HLOOKUP("xG/90",A1:CV300,33,FALSE)+3*HLOOKUP("xA/90",A1:CV300,33,FALSE)</f>
      </c>
      <c r="BT33" s="17856">
        <f>HLOOKUP("xPts/90",A1:CV300,33,FALSE)-(5*0.75*(HLOOKUP("PK Gs",A1:CV300,33,FALSE)+HLOOKUP("PK Miss",A1:CV300,33,FALSE))*90/HLOOKUP("Mins",A1:CV300,33,FALSE))</f>
      </c>
      <c r="BU33" s="17857">
        <f>IF(HLOOKUP("Mins",A1:CV300,33,FALSE)=0,0,HLOOKUP("fsXG",A1:CV300,33,FALSE)/HLOOKUP("Mins",A1:CV300,33,FALSE)* 90)</f>
      </c>
      <c r="BV33" s="17858">
        <f>IF(HLOOKUP("Mins",A1:CV300,33,FALSE)=0,0,HLOOKUP("fsXA",A1:CV300,33,FALSE)/HLOOKUP("Mins",A1:CV300,33,FALSE)* 90)</f>
      </c>
      <c r="BW33" s="17859">
        <f>5*HLOOKUP("fsXG/90",A1:CV300,33,FALSE)+3*HLOOKUP("fsXA/90",A1:CV300,33,FALSE)</f>
      </c>
      <c r="BX33" t="n" s="17860">
        <v>0.01261906698346138</v>
      </c>
      <c r="BY33" t="n" s="17861">
        <v>0.05626637116074562</v>
      </c>
      <c r="BZ33" s="17862">
        <f>5*HLOOKUP("uXG/90",A1:CV300,33,FALSE)+3*HLOOKUP("uXA/90",A1:CV300,33,FALSE)</f>
      </c>
    </row>
    <row r="34">
      <c r="A34" t="s" s="17863">
        <v>325</v>
      </c>
      <c r="B34" t="s" s="17864">
        <v>85</v>
      </c>
    </row>
    <row r="35">
      <c r="A35" t="s" s="17865">
        <v>326</v>
      </c>
      <c r="B35" t="s" s="17866">
        <v>112</v>
      </c>
      <c r="C35" t="n" s="17867">
        <v>6.199999809265137</v>
      </c>
      <c r="D35" t="n" s="17868">
        <v>208.0</v>
      </c>
      <c r="E35" t="n" s="17869">
        <v>4.0</v>
      </c>
      <c r="F35" t="n" s="17870">
        <v>38.0</v>
      </c>
      <c r="G35" t="n" s="17871">
        <v>0.0</v>
      </c>
      <c r="H35" t="n" s="17872">
        <v>3.0</v>
      </c>
      <c r="I35" t="n" s="17873">
        <v>194.0</v>
      </c>
      <c r="J35" s="17874">
        <f>HLOOKUP("BPS",A1:CV300,35,FALSE)-((-6*HLOOKUP("OG",A1:CV300,35,FALSE))+(-6*HLOOKUP("PK Miss",A1:CV300,35,FALSE))+(9*HLOOKUP("FPL As",A1:CV300,35,FALSE))+(0*HLOOKUP("CS",A1:CV300,35,FALSE))+(18*HLOOKUP("Gs",A1:CV300,35,FALSE)))</f>
      </c>
      <c r="K35" t="n" s="17875">
        <v>0.0</v>
      </c>
      <c r="L35" t="n" s="17876">
        <v>2.0</v>
      </c>
      <c r="M35" t="n" s="17877">
        <v>4.0</v>
      </c>
      <c r="N35" t="n" s="17878">
        <v>4.0</v>
      </c>
      <c r="O35" t="n" s="17879">
        <v>3.0</v>
      </c>
      <c r="P35" s="17880">
        <f>IF(HLOOKUP("Shots",A1:CV300,35,FALSE)=0,0,HLOOKUP("SIB",A1:CV300,35,FALSE)/HLOOKUP("Shots",A1:CV300,35,FALSE))</f>
      </c>
      <c r="Q35" t="n" s="17881">
        <v>1.0</v>
      </c>
      <c r="R35" s="17882">
        <f>IF(HLOOKUP("Shots",A1:CV300,35,FALSE)=0,0,HLOOKUP("S6YD",A1:CV300,35,FALSE)/HLOOKUP("Shots",A1:CV300,35,FALSE))</f>
      </c>
      <c r="S35" t="n" s="17883">
        <v>1.0</v>
      </c>
      <c r="T35" s="17884">
        <f>IF(HLOOKUP("Shots",A1:CV300,35,FALSE)=0,0,HLOOKUP("Headers",A1:CV300,35,FALSE)/HLOOKUP("Shots",A1:CV300,35,FALSE))</f>
      </c>
      <c r="U35" t="n" s="17885">
        <v>3.0</v>
      </c>
      <c r="V35" s="17886">
        <f>IF(HLOOKUP("Shots",A1:CV300,35,FALSE)=0,0,HLOOKUP("SOT",A1:CV300,35,FALSE)/HLOOKUP("Shots",A1:CV300,35,FALSE))</f>
      </c>
      <c r="W35" s="17887">
        <f>IF(HLOOKUP("Shots",A1:CV300,35,FALSE)=0,0,HLOOKUP("Gs",A1:CV300,35,FALSE)/HLOOKUP("Shots",A1:CV300,35,FALSE))</f>
      </c>
      <c r="X35" t="n" s="17888">
        <v>0.0</v>
      </c>
      <c r="Y35" t="n" s="17889">
        <v>3.0</v>
      </c>
      <c r="Z35" t="n" s="17890">
        <v>6.0</v>
      </c>
      <c r="AA35" s="17891">
        <f>IF(HLOOKUP("KP",A1:CV300,35,FALSE)=0,0,HLOOKUP("As",A1:CV300,35,FALSE)/HLOOKUP("KP",A1:CV300,35,FALSE))</f>
      </c>
      <c r="AB35" s="17892"/>
      <c r="AC35" t="n" s="17893">
        <v>0.0</v>
      </c>
      <c r="AD35" t="n" s="17894">
        <v>0.0</v>
      </c>
      <c r="AE35" t="n" s="17895">
        <v>1.0</v>
      </c>
      <c r="AF35" t="n" s="17896">
        <v>1.0</v>
      </c>
      <c r="AG35" s="17897">
        <f>IF(HLOOKUP("BC",A1:CV300,35,FALSE)=0,0,HLOOKUP("Gs - BC",A1:CV300,35,FALSE)/HLOOKUP("BC",A1:CV300,35,FALSE))</f>
      </c>
      <c r="AH35" s="17898">
        <f>HLOOKUP("BC",A1:CV300,35,FALSE) - HLOOKUP("BC Miss",A1:CV300,35,FALSE)</f>
      </c>
      <c r="AI35" s="17899">
        <f>IF(HLOOKUP("Gs",A1:CV300,35,FALSE)=0,0,HLOOKUP("Gs - BC",A1:CV300,35,FALSE)/HLOOKUP("Gs",A1:CV300,35,FALSE))</f>
      </c>
      <c r="AJ35" t="n" s="17900">
        <v>0.0</v>
      </c>
      <c r="AK35" t="n" s="17901">
        <v>0.0</v>
      </c>
      <c r="AL35" s="17902">
        <f>HLOOKUP("BC",A1:CV300,35,FALSE) - (HLOOKUP("PK Gs",A1:CV300,35,FALSE) + HLOOKUP("PK Miss",A1:CV300,35,FALSE))</f>
      </c>
      <c r="AM35" s="17903">
        <f>HLOOKUP("BC Miss",A1:CV300,35,FALSE) - HLOOKUP("PK Miss",A1:CV300,35,FALSE)</f>
      </c>
      <c r="AN35" s="17904">
        <f>IF(HLOOKUP("BC - Open",A1:CV300,35,FALSE)=0,0,HLOOKUP("BC - Open Miss",A1:CV300,35,FALSE)/HLOOKUP("BC - Open",A1:CV300,35,FALSE))</f>
      </c>
      <c r="AO35" t="n" s="17905">
        <v>0.0</v>
      </c>
      <c r="AP35" s="17906">
        <f>IF(HLOOKUP("Gs",A1:CV300,35,FALSE)=0,0,HLOOKUP("GIB",A1:CV300,35,FALSE)/HLOOKUP("Gs",A1:CV300,35,FALSE))</f>
      </c>
      <c r="AQ35" t="n" s="17907">
        <v>0.0</v>
      </c>
      <c r="AR35" s="17908">
        <f>IF(HLOOKUP("Gs",A1:CV300,35,FALSE)=0,0,HLOOKUP("Gs - Open",A1:CV300,35,FALSE)/HLOOKUP("Gs",A1:CV300,35,FALSE))</f>
      </c>
      <c r="AS35" t="n" s="17909">
        <v>0.56</v>
      </c>
      <c r="AT35" t="n" s="17910">
        <v>0.3</v>
      </c>
      <c r="AU35" s="17911">
        <f>IF(HLOOKUP("Mins",A1:CV300,35,FALSE)=0,0,HLOOKUP("Pts",A1:CV300,35,FALSE)/HLOOKUP("Mins",A1:CV300,35,FALSE)* 90)</f>
      </c>
      <c r="AV35" s="17912">
        <f>IF(HLOOKUP("Apps",A1:CV300,35,FALSE)=0,0,HLOOKUP("Pts",A1:CV300,35,FALSE)/HLOOKUP("Apps",A1:CV300,35,FALSE)* 1)</f>
      </c>
      <c r="AW35" s="17913">
        <f>IF(HLOOKUP("Mins",A1:CV300,35,FALSE)=0,0,HLOOKUP("Gs",A1:CV300,35,FALSE)/HLOOKUP("Mins",A1:CV300,35,FALSE)* 90)</f>
      </c>
      <c r="AX35" s="17914">
        <f>IF(HLOOKUP("Mins",A1:CV300,35,FALSE)=0,0,HLOOKUP("Bonus",A1:CV300,35,FALSE)/HLOOKUP("Mins",A1:CV300,35,FALSE)* 90)</f>
      </c>
      <c r="AY35" s="17915">
        <f>IF(HLOOKUP("Mins",A1:CV300,35,FALSE)=0,0,HLOOKUP("BPS",A1:CV300,35,FALSE)/HLOOKUP("Mins",A1:CV300,35,FALSE)* 90)</f>
      </c>
      <c r="AZ35" s="17916">
        <f>IF(HLOOKUP("Mins",A1:CV300,35,FALSE)=0,0,HLOOKUP("Base BPS",A1:CV300,35,FALSE)/HLOOKUP("Mins",A1:CV300,35,FALSE)* 90)</f>
      </c>
      <c r="BA35" s="17917">
        <f>IF(HLOOKUP("Mins",A1:CV300,35,FALSE)=0,0,HLOOKUP("PenTchs",A1:CV300,35,FALSE)/HLOOKUP("Mins",A1:CV300,35,FALSE)* 90)</f>
      </c>
      <c r="BB35" s="17918">
        <f>IF(HLOOKUP("Mins",A1:CV300,35,FALSE)=0,0,HLOOKUP("Shots",A1:CV300,35,FALSE)/HLOOKUP("Mins",A1:CV300,35,FALSE)* 90)</f>
      </c>
      <c r="BC35" s="17919">
        <f>IF(HLOOKUP("Mins",A1:CV300,35,FALSE)=0,0,HLOOKUP("SIB",A1:CV300,35,FALSE)/HLOOKUP("Mins",A1:CV300,35,FALSE)* 90)</f>
      </c>
      <c r="BD35" s="17920">
        <f>IF(HLOOKUP("Mins",A1:CV300,35,FALSE)=0,0,HLOOKUP("S6YD",A1:CV300,35,FALSE)/HLOOKUP("Mins",A1:CV300,35,FALSE)* 90)</f>
      </c>
      <c r="BE35" s="17921">
        <f>IF(HLOOKUP("Mins",A1:CV300,35,FALSE)=0,0,HLOOKUP("Headers",A1:CV300,35,FALSE)/HLOOKUP("Mins",A1:CV300,35,FALSE)* 90)</f>
      </c>
      <c r="BF35" s="17922">
        <f>IF(HLOOKUP("Mins",A1:CV300,35,FALSE)=0,0,HLOOKUP("SOT",A1:CV300,35,FALSE)/HLOOKUP("Mins",A1:CV300,35,FALSE)* 90)</f>
      </c>
      <c r="BG35" s="17923">
        <f>IF(HLOOKUP("Mins",A1:CV300,35,FALSE)=0,0,HLOOKUP("As",A1:CV300,35,FALSE)/HLOOKUP("Mins",A1:CV300,35,FALSE)* 90)</f>
      </c>
      <c r="BH35" s="17924">
        <f>IF(HLOOKUP("Mins",A1:CV300,35,FALSE)=0,0,HLOOKUP("FPL As",A1:CV300,35,FALSE)/HLOOKUP("Mins",A1:CV300,35,FALSE)* 90)</f>
      </c>
      <c r="BI35" s="17925">
        <f>IF(HLOOKUP("Mins",A1:CV300,35,FALSE)=0,0,HLOOKUP("BC Created",A1:CV300,35,FALSE)/HLOOKUP("Mins",A1:CV300,35,FALSE)* 90)</f>
      </c>
      <c r="BJ35" s="17926">
        <f>IF(HLOOKUP("Mins",A1:CV300,35,FALSE)=0,0,HLOOKUP("KP",A1:CV300,35,FALSE)/HLOOKUP("Mins",A1:CV300,35,FALSE)* 90)</f>
      </c>
      <c r="BK35" s="17927">
        <f>IF(HLOOKUP("Mins",A1:CV300,35,FALSE)=0,0,HLOOKUP("BC",A1:CV300,35,FALSE)/HLOOKUP("Mins",A1:CV300,35,FALSE)* 90)</f>
      </c>
      <c r="BL35" s="17928">
        <f>IF(HLOOKUP("Mins",A1:CV300,35,FALSE)=0,0,HLOOKUP("BC Miss",A1:CV300,35,FALSE)/HLOOKUP("Mins",A1:CV300,35,FALSE)* 90)</f>
      </c>
      <c r="BM35" s="17929">
        <f>IF(HLOOKUP("Mins",A1:CV300,35,FALSE)=0,0,HLOOKUP("Gs - BC",A1:CV300,35,FALSE)/HLOOKUP("Mins",A1:CV300,35,FALSE)* 90)</f>
      </c>
      <c r="BN35" s="17930">
        <f>IF(HLOOKUP("Mins",A1:CV300,35,FALSE)=0,0,HLOOKUP("GIB",A1:CV300,35,FALSE)/HLOOKUP("Mins",A1:CV300,35,FALSE)* 90)</f>
      </c>
      <c r="BO35" s="17931">
        <f>IF(HLOOKUP("Mins",A1:CV300,35,FALSE)=0,0,HLOOKUP("Gs - Open",A1:CV300,35,FALSE)/HLOOKUP("Mins",A1:CV300,35,FALSE)* 90)</f>
      </c>
      <c r="BP35" s="17932">
        <f>IF(HLOOKUP("Mins",A1:CV300,35,FALSE)=0,0,HLOOKUP("ICT Index",A1:CV300,35,FALSE)/HLOOKUP("Mins",A1:CV300,35,FALSE)* 90)</f>
      </c>
      <c r="BQ35" s="17933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</c>
      <c r="BR35" s="17934">
        <f>0.0885*HLOOKUP("KP/90",A1:CV300,35,FALSE)</f>
      </c>
      <c r="BS35" s="17935">
        <f>5*HLOOKUP("xG/90",A1:CV300,35,FALSE)+3*HLOOKUP("xA/90",A1:CV300,35,FALSE)</f>
      </c>
      <c r="BT35" s="17936">
        <f>HLOOKUP("xPts/90",A1:CV300,35,FALSE)-(5*0.75*(HLOOKUP("PK Gs",A1:CV300,35,FALSE)+HLOOKUP("PK Miss",A1:CV300,35,FALSE))*90/HLOOKUP("Mins",A1:CV300,35,FALSE))</f>
      </c>
      <c r="BU35" s="17937">
        <f>IF(HLOOKUP("Mins",A1:CV300,35,FALSE)=0,0,HLOOKUP("fsXG",A1:CV300,35,FALSE)/HLOOKUP("Mins",A1:CV300,35,FALSE)* 90)</f>
      </c>
      <c r="BV35" s="17938">
        <f>IF(HLOOKUP("Mins",A1:CV300,35,FALSE)=0,0,HLOOKUP("fsXA",A1:CV300,35,FALSE)/HLOOKUP("Mins",A1:CV300,35,FALSE)* 90)</f>
      </c>
      <c r="BW35" s="17939">
        <f>5*HLOOKUP("fsXG/90",A1:CV300,35,FALSE)+3*HLOOKUP("fsXA/90",A1:CV300,35,FALSE)</f>
      </c>
      <c r="BX35" t="n" s="17940">
        <v>0.2946835458278656</v>
      </c>
      <c r="BY35" t="n" s="17941">
        <v>0.1977212131023407</v>
      </c>
      <c r="BZ35" s="17942">
        <f>5*HLOOKUP("uXG/90",A1:CV300,35,FALSE)+3*HLOOKUP("uXA/90",A1:CV300,35,FALSE)</f>
      </c>
    </row>
    <row r="36">
      <c r="A36" t="s" s="17943">
        <v>327</v>
      </c>
      <c r="B36" t="s" s="17944">
        <v>92</v>
      </c>
      <c r="C36" t="n" s="17945">
        <v>5.900000095367432</v>
      </c>
      <c r="D36" t="n" s="17946">
        <v>107.0</v>
      </c>
      <c r="E36" t="n" s="17947">
        <v>2.0</v>
      </c>
      <c r="F36" t="n" s="17948">
        <v>3.0</v>
      </c>
      <c r="G36" t="n" s="17949">
        <v>0.0</v>
      </c>
      <c r="H36" t="n" s="17950">
        <v>0.0</v>
      </c>
      <c r="I36" t="n" s="17951">
        <v>16.0</v>
      </c>
      <c r="J36" s="17952">
        <f>HLOOKUP("BPS",A1:CV300,36,FALSE)-((-6*HLOOKUP("OG",A1:CV300,36,FALSE))+(-6*HLOOKUP("PK Miss",A1:CV300,36,FALSE))+(9*HLOOKUP("FPL As",A1:CV300,36,FALSE))+(0*HLOOKUP("CS",A1:CV300,36,FALSE))+(18*HLOOKUP("Gs",A1:CV300,36,FALSE)))</f>
      </c>
      <c r="K36" t="n" s="17953">
        <v>0.0</v>
      </c>
      <c r="L36" t="n" s="17954">
        <v>0.0</v>
      </c>
      <c r="M36" t="n" s="17955">
        <v>2.0</v>
      </c>
      <c r="N36" t="n" s="17956">
        <v>1.0</v>
      </c>
      <c r="O36" t="n" s="17957">
        <v>1.0</v>
      </c>
      <c r="P36" s="17958">
        <f>IF(HLOOKUP("Shots",A1:CV300,36,FALSE)=0,0,HLOOKUP("SIB",A1:CV300,36,FALSE)/HLOOKUP("Shots",A1:CV300,36,FALSE))</f>
      </c>
      <c r="Q36" t="n" s="17959">
        <v>0.0</v>
      </c>
      <c r="R36" s="17960">
        <f>IF(HLOOKUP("Shots",A1:CV300,36,FALSE)=0,0,HLOOKUP("S6YD",A1:CV300,36,FALSE)/HLOOKUP("Shots",A1:CV300,36,FALSE))</f>
      </c>
      <c r="S36" t="n" s="17961">
        <v>0.0</v>
      </c>
      <c r="T36" s="17962">
        <f>IF(HLOOKUP("Shots",A1:CV300,36,FALSE)=0,0,HLOOKUP("Headers",A1:CV300,36,FALSE)/HLOOKUP("Shots",A1:CV300,36,FALSE))</f>
      </c>
      <c r="U36" t="n" s="17963">
        <v>1.0</v>
      </c>
      <c r="V36" s="17964">
        <f>IF(HLOOKUP("Shots",A1:CV300,36,FALSE)=0,0,HLOOKUP("SOT",A1:CV300,36,FALSE)/HLOOKUP("Shots",A1:CV300,36,FALSE))</f>
      </c>
      <c r="W36" s="17965">
        <f>IF(HLOOKUP("Shots",A1:CV300,36,FALSE)=0,0,HLOOKUP("Gs",A1:CV300,36,FALSE)/HLOOKUP("Shots",A1:CV300,36,FALSE))</f>
      </c>
      <c r="X36" t="n" s="17966">
        <v>0.0</v>
      </c>
      <c r="Y36" t="n" s="17967">
        <v>0.0</v>
      </c>
      <c r="Z36" t="n" s="17968">
        <v>2.0</v>
      </c>
      <c r="AA36" s="17969">
        <f>IF(HLOOKUP("KP",A1:CV300,36,FALSE)=0,0,HLOOKUP("As",A1:CV300,36,FALSE)/HLOOKUP("KP",A1:CV300,36,FALSE))</f>
      </c>
      <c r="AB36" s="17970"/>
      <c r="AC36" t="n" s="17971">
        <v>0.0</v>
      </c>
      <c r="AD36" t="n" s="17972">
        <v>0.0</v>
      </c>
      <c r="AE36" t="n" s="17973">
        <v>0.0</v>
      </c>
      <c r="AF36" t="n" s="17974">
        <v>0.0</v>
      </c>
      <c r="AG36" s="17975">
        <f>IF(HLOOKUP("BC",A1:CV300,36,FALSE)=0,0,HLOOKUP("Gs - BC",A1:CV300,36,FALSE)/HLOOKUP("BC",A1:CV300,36,FALSE))</f>
      </c>
      <c r="AH36" s="17976">
        <f>HLOOKUP("BC",A1:CV300,36,FALSE) - HLOOKUP("BC Miss",A1:CV300,36,FALSE)</f>
      </c>
      <c r="AI36" s="17977">
        <f>IF(HLOOKUP("Gs",A1:CV300,36,FALSE)=0,0,HLOOKUP("Gs - BC",A1:CV300,36,FALSE)/HLOOKUP("Gs",A1:CV300,36,FALSE))</f>
      </c>
      <c r="AJ36" t="n" s="17978">
        <v>0.0</v>
      </c>
      <c r="AK36" t="n" s="17979">
        <v>0.0</v>
      </c>
      <c r="AL36" s="17980">
        <f>HLOOKUP("BC",A1:CV300,36,FALSE) - (HLOOKUP("PK Gs",A1:CV300,36,FALSE) + HLOOKUP("PK Miss",A1:CV300,36,FALSE))</f>
      </c>
      <c r="AM36" s="17981">
        <f>HLOOKUP("BC Miss",A1:CV300,36,FALSE) - HLOOKUP("PK Miss",A1:CV300,36,FALSE)</f>
      </c>
      <c r="AN36" s="17982">
        <f>IF(HLOOKUP("BC - Open",A1:CV300,36,FALSE)=0,0,HLOOKUP("BC - Open Miss",A1:CV300,36,FALSE)/HLOOKUP("BC - Open",A1:CV300,36,FALSE))</f>
      </c>
      <c r="AO36" t="n" s="17983">
        <v>0.0</v>
      </c>
      <c r="AP36" s="17984">
        <f>IF(HLOOKUP("Gs",A1:CV300,36,FALSE)=0,0,HLOOKUP("GIB",A1:CV300,36,FALSE)/HLOOKUP("Gs",A1:CV300,36,FALSE))</f>
      </c>
      <c r="AQ36" t="n" s="17985">
        <v>0.0</v>
      </c>
      <c r="AR36" s="17986">
        <f>IF(HLOOKUP("Gs",A1:CV300,36,FALSE)=0,0,HLOOKUP("Gs - Open",A1:CV300,36,FALSE)/HLOOKUP("Gs",A1:CV300,36,FALSE))</f>
      </c>
      <c r="AS36" t="n" s="17987">
        <v>0.05</v>
      </c>
      <c r="AT36" t="n" s="17988">
        <v>0.09</v>
      </c>
      <c r="AU36" s="17989">
        <f>IF(HLOOKUP("Mins",A1:CV300,36,FALSE)=0,0,HLOOKUP("Pts",A1:CV300,36,FALSE)/HLOOKUP("Mins",A1:CV300,36,FALSE)* 90)</f>
      </c>
      <c r="AV36" s="17990">
        <f>IF(HLOOKUP("Apps",A1:CV300,36,FALSE)=0,0,HLOOKUP("Pts",A1:CV300,36,FALSE)/HLOOKUP("Apps",A1:CV300,36,FALSE)* 1)</f>
      </c>
      <c r="AW36" s="17991">
        <f>IF(HLOOKUP("Mins",A1:CV300,36,FALSE)=0,0,HLOOKUP("Gs",A1:CV300,36,FALSE)/HLOOKUP("Mins",A1:CV300,36,FALSE)* 90)</f>
      </c>
      <c r="AX36" s="17992">
        <f>IF(HLOOKUP("Mins",A1:CV300,36,FALSE)=0,0,HLOOKUP("Bonus",A1:CV300,36,FALSE)/HLOOKUP("Mins",A1:CV300,36,FALSE)* 90)</f>
      </c>
      <c r="AY36" s="17993">
        <f>IF(HLOOKUP("Mins",A1:CV300,36,FALSE)=0,0,HLOOKUP("BPS",A1:CV300,36,FALSE)/HLOOKUP("Mins",A1:CV300,36,FALSE)* 90)</f>
      </c>
      <c r="AZ36" s="17994">
        <f>IF(HLOOKUP("Mins",A1:CV300,36,FALSE)=0,0,HLOOKUP("Base BPS",A1:CV300,36,FALSE)/HLOOKUP("Mins",A1:CV300,36,FALSE)* 90)</f>
      </c>
      <c r="BA36" s="17995">
        <f>IF(HLOOKUP("Mins",A1:CV300,36,FALSE)=0,0,HLOOKUP("PenTchs",A1:CV300,36,FALSE)/HLOOKUP("Mins",A1:CV300,36,FALSE)* 90)</f>
      </c>
      <c r="BB36" s="17996">
        <f>IF(HLOOKUP("Mins",A1:CV300,36,FALSE)=0,0,HLOOKUP("Shots",A1:CV300,36,FALSE)/HLOOKUP("Mins",A1:CV300,36,FALSE)* 90)</f>
      </c>
      <c r="BC36" s="17997">
        <f>IF(HLOOKUP("Mins",A1:CV300,36,FALSE)=0,0,HLOOKUP("SIB",A1:CV300,36,FALSE)/HLOOKUP("Mins",A1:CV300,36,FALSE)* 90)</f>
      </c>
      <c r="BD36" s="17998">
        <f>IF(HLOOKUP("Mins",A1:CV300,36,FALSE)=0,0,HLOOKUP("S6YD",A1:CV300,36,FALSE)/HLOOKUP("Mins",A1:CV300,36,FALSE)* 90)</f>
      </c>
      <c r="BE36" s="17999">
        <f>IF(HLOOKUP("Mins",A1:CV300,36,FALSE)=0,0,HLOOKUP("Headers",A1:CV300,36,FALSE)/HLOOKUP("Mins",A1:CV300,36,FALSE)* 90)</f>
      </c>
      <c r="BF36" s="18000">
        <f>IF(HLOOKUP("Mins",A1:CV300,36,FALSE)=0,0,HLOOKUP("SOT",A1:CV300,36,FALSE)/HLOOKUP("Mins",A1:CV300,36,FALSE)* 90)</f>
      </c>
      <c r="BG36" s="18001">
        <f>IF(HLOOKUP("Mins",A1:CV300,36,FALSE)=0,0,HLOOKUP("As",A1:CV300,36,FALSE)/HLOOKUP("Mins",A1:CV300,36,FALSE)* 90)</f>
      </c>
      <c r="BH36" s="18002">
        <f>IF(HLOOKUP("Mins",A1:CV300,36,FALSE)=0,0,HLOOKUP("FPL As",A1:CV300,36,FALSE)/HLOOKUP("Mins",A1:CV300,36,FALSE)* 90)</f>
      </c>
      <c r="BI36" s="18003">
        <f>IF(HLOOKUP("Mins",A1:CV300,36,FALSE)=0,0,HLOOKUP("BC Created",A1:CV300,36,FALSE)/HLOOKUP("Mins",A1:CV300,36,FALSE)* 90)</f>
      </c>
      <c r="BJ36" s="18004">
        <f>IF(HLOOKUP("Mins",A1:CV300,36,FALSE)=0,0,HLOOKUP("KP",A1:CV300,36,FALSE)/HLOOKUP("Mins",A1:CV300,36,FALSE)* 90)</f>
      </c>
      <c r="BK36" s="18005">
        <f>IF(HLOOKUP("Mins",A1:CV300,36,FALSE)=0,0,HLOOKUP("BC",A1:CV300,36,FALSE)/HLOOKUP("Mins",A1:CV300,36,FALSE)* 90)</f>
      </c>
      <c r="BL36" s="18006">
        <f>IF(HLOOKUP("Mins",A1:CV300,36,FALSE)=0,0,HLOOKUP("BC Miss",A1:CV300,36,FALSE)/HLOOKUP("Mins",A1:CV300,36,FALSE)* 90)</f>
      </c>
      <c r="BM36" s="18007">
        <f>IF(HLOOKUP("Mins",A1:CV300,36,FALSE)=0,0,HLOOKUP("Gs - BC",A1:CV300,36,FALSE)/HLOOKUP("Mins",A1:CV300,36,FALSE)* 90)</f>
      </c>
      <c r="BN36" s="18008">
        <f>IF(HLOOKUP("Mins",A1:CV300,36,FALSE)=0,0,HLOOKUP("GIB",A1:CV300,36,FALSE)/HLOOKUP("Mins",A1:CV300,36,FALSE)* 90)</f>
      </c>
      <c r="BO36" s="18009">
        <f>IF(HLOOKUP("Mins",A1:CV300,36,FALSE)=0,0,HLOOKUP("Gs - Open",A1:CV300,36,FALSE)/HLOOKUP("Mins",A1:CV300,36,FALSE)* 90)</f>
      </c>
      <c r="BP36" s="18010">
        <f>IF(HLOOKUP("Mins",A1:CV300,36,FALSE)=0,0,HLOOKUP("ICT Index",A1:CV300,36,FALSE)/HLOOKUP("Mins",A1:CV300,36,FALSE)* 90)</f>
      </c>
      <c r="BQ36" s="18011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</c>
      <c r="BR36" s="18012">
        <f>0.0885*HLOOKUP("KP/90",A1:CV300,36,FALSE)</f>
      </c>
      <c r="BS36" s="18013">
        <f>5*HLOOKUP("xG/90",A1:CV300,36,FALSE)+3*HLOOKUP("xA/90",A1:CV300,36,FALSE)</f>
      </c>
      <c r="BT36" s="18014">
        <f>HLOOKUP("xPts/90",A1:CV300,36,FALSE)-(5*0.75*(HLOOKUP("PK Gs",A1:CV300,36,FALSE)+HLOOKUP("PK Miss",A1:CV300,36,FALSE))*90/HLOOKUP("Mins",A1:CV300,36,FALSE))</f>
      </c>
      <c r="BU36" s="18015">
        <f>IF(HLOOKUP("Mins",A1:CV300,36,FALSE)=0,0,HLOOKUP("fsXG",A1:CV300,36,FALSE)/HLOOKUP("Mins",A1:CV300,36,FALSE)* 90)</f>
      </c>
      <c r="BV36" s="18016">
        <f>IF(HLOOKUP("Mins",A1:CV300,36,FALSE)=0,0,HLOOKUP("fsXA",A1:CV300,36,FALSE)/HLOOKUP("Mins",A1:CV300,36,FALSE)* 90)</f>
      </c>
      <c r="BW36" s="18017">
        <f>5*HLOOKUP("fsXG/90",A1:CV300,36,FALSE)+3*HLOOKUP("fsXA/90",A1:CV300,36,FALSE)</f>
      </c>
      <c r="BX36" t="n" s="18018">
        <v>0.06809184700250626</v>
      </c>
      <c r="BY36" t="n" s="18019">
        <v>0.04396187886595726</v>
      </c>
      <c r="BZ36" s="18020">
        <f>5*HLOOKUP("uXG/90",A1:CV300,36,FALSE)+3*HLOOKUP("uXA/90",A1:CV300,36,FALSE)</f>
      </c>
    </row>
    <row r="37">
      <c r="A37" t="s" s="18021">
        <v>328</v>
      </c>
      <c r="B37" t="s" s="18022">
        <v>147</v>
      </c>
      <c r="C37" t="n" s="18023">
        <v>6.199999809265137</v>
      </c>
      <c r="D37" t="n" s="18024">
        <v>478.0</v>
      </c>
      <c r="E37" t="n" s="18025">
        <v>6.0</v>
      </c>
      <c r="F37" t="n" s="18026">
        <v>85.0</v>
      </c>
      <c r="G37" t="n" s="18027">
        <v>0.0</v>
      </c>
      <c r="H37" t="n" s="18028">
        <v>6.0</v>
      </c>
      <c r="I37" t="n" s="18029">
        <v>314.0</v>
      </c>
      <c r="J37" s="18030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18031">
        <v>0.0</v>
      </c>
      <c r="L37" t="n" s="18032">
        <v>6.0</v>
      </c>
      <c r="M37" t="n" s="18033">
        <v>23.0</v>
      </c>
      <c r="N37" t="n" s="18034">
        <v>10.0</v>
      </c>
      <c r="O37" t="n" s="18035">
        <v>5.0</v>
      </c>
      <c r="P37" s="18036">
        <f>IF(HLOOKUP("Shots",A1:CV300,37,FALSE)=0,0,HLOOKUP("SIB",A1:CV300,37,FALSE)/HLOOKUP("Shots",A1:CV300,37,FALSE))</f>
      </c>
      <c r="Q37" t="n" s="18037">
        <v>1.0</v>
      </c>
      <c r="R37" s="18038">
        <f>IF(HLOOKUP("Shots",A1:CV300,37,FALSE)=0,0,HLOOKUP("S6YD",A1:CV300,37,FALSE)/HLOOKUP("Shots",A1:CV300,37,FALSE))</f>
      </c>
      <c r="S37" t="n" s="18039">
        <v>0.0</v>
      </c>
      <c r="T37" s="18040">
        <f>IF(HLOOKUP("Shots",A1:CV300,37,FALSE)=0,0,HLOOKUP("Headers",A1:CV300,37,FALSE)/HLOOKUP("Shots",A1:CV300,37,FALSE))</f>
      </c>
      <c r="U37" t="n" s="18041">
        <v>5.0</v>
      </c>
      <c r="V37" s="18042">
        <f>IF(HLOOKUP("Shots",A1:CV300,37,FALSE)=0,0,HLOOKUP("SOT",A1:CV300,37,FALSE)/HLOOKUP("Shots",A1:CV300,37,FALSE))</f>
      </c>
      <c r="W37" s="18043">
        <f>IF(HLOOKUP("Shots",A1:CV300,37,FALSE)=0,0,HLOOKUP("Gs",A1:CV300,37,FALSE)/HLOOKUP("Shots",A1:CV300,37,FALSE))</f>
      </c>
      <c r="X37" t="n" s="18044">
        <v>1.0</v>
      </c>
      <c r="Y37" t="n" s="18045">
        <v>3.0</v>
      </c>
      <c r="Z37" t="n" s="18046">
        <v>8.0</v>
      </c>
      <c r="AA37" s="18047">
        <f>IF(HLOOKUP("KP",A1:CV300,37,FALSE)=0,0,HLOOKUP("As",A1:CV300,37,FALSE)/HLOOKUP("KP",A1:CV300,37,FALSE))</f>
      </c>
      <c r="AB37" s="18048"/>
      <c r="AC37" t="n" s="18049">
        <v>12.0</v>
      </c>
      <c r="AD37" t="n" s="18050">
        <v>3.0</v>
      </c>
      <c r="AE37" t="n" s="18051">
        <v>1.0</v>
      </c>
      <c r="AF37" t="n" s="18052">
        <v>1.0</v>
      </c>
      <c r="AG37" s="18053">
        <f>IF(HLOOKUP("BC",A1:CV300,37,FALSE)=0,0,HLOOKUP("Gs - BC",A1:CV300,37,FALSE)/HLOOKUP("BC",A1:CV300,37,FALSE))</f>
      </c>
      <c r="AH37" s="18054">
        <f>HLOOKUP("BC",A1:CV300,37,FALSE) - HLOOKUP("BC Miss",A1:CV300,37,FALSE)</f>
      </c>
      <c r="AI37" s="18055">
        <f>IF(HLOOKUP("Gs",A1:CV300,37,FALSE)=0,0,HLOOKUP("Gs - BC",A1:CV300,37,FALSE)/HLOOKUP("Gs",A1:CV300,37,FALSE))</f>
      </c>
      <c r="AJ37" t="n" s="18056">
        <v>0.0</v>
      </c>
      <c r="AK37" t="n" s="18057">
        <v>0.0</v>
      </c>
      <c r="AL37" s="18058">
        <f>HLOOKUP("BC",A1:CV300,37,FALSE) - (HLOOKUP("PK Gs",A1:CV300,37,FALSE) + HLOOKUP("PK Miss",A1:CV300,37,FALSE))</f>
      </c>
      <c r="AM37" s="18059">
        <f>HLOOKUP("BC Miss",A1:CV300,37,FALSE) - HLOOKUP("PK Miss",A1:CV300,37,FALSE)</f>
      </c>
      <c r="AN37" s="18060">
        <f>IF(HLOOKUP("BC - Open",A1:CV300,37,FALSE)=0,0,HLOOKUP("BC - Open Miss",A1:CV300,37,FALSE)/HLOOKUP("BC - Open",A1:CV300,37,FALSE))</f>
      </c>
      <c r="AO37" t="n" s="18061">
        <v>0.0</v>
      </c>
      <c r="AP37" s="18062">
        <f>IF(HLOOKUP("Gs",A1:CV300,37,FALSE)=0,0,HLOOKUP("GIB",A1:CV300,37,FALSE)/HLOOKUP("Gs",A1:CV300,37,FALSE))</f>
      </c>
      <c r="AQ37" t="n" s="18063">
        <v>0.0</v>
      </c>
      <c r="AR37" s="18064">
        <f>IF(HLOOKUP("Gs",A1:CV300,37,FALSE)=0,0,HLOOKUP("Gs - Open",A1:CV300,37,FALSE)/HLOOKUP("Gs",A1:CV300,37,FALSE))</f>
      </c>
      <c r="AS37" t="n" s="18065">
        <v>0.78</v>
      </c>
      <c r="AT37" t="n" s="18066">
        <v>0.9</v>
      </c>
      <c r="AU37" s="18067">
        <f>IF(HLOOKUP("Mins",A1:CV300,37,FALSE)=0,0,HLOOKUP("Pts",A1:CV300,37,FALSE)/HLOOKUP("Mins",A1:CV300,37,FALSE)* 90)</f>
      </c>
      <c r="AV37" s="18068">
        <f>IF(HLOOKUP("Apps",A1:CV300,37,FALSE)=0,0,HLOOKUP("Pts",A1:CV300,37,FALSE)/HLOOKUP("Apps",A1:CV300,37,FALSE)* 1)</f>
      </c>
      <c r="AW37" s="18069">
        <f>IF(HLOOKUP("Mins",A1:CV300,37,FALSE)=0,0,HLOOKUP("Gs",A1:CV300,37,FALSE)/HLOOKUP("Mins",A1:CV300,37,FALSE)* 90)</f>
      </c>
      <c r="AX37" s="18070">
        <f>IF(HLOOKUP("Mins",A1:CV300,37,FALSE)=0,0,HLOOKUP("Bonus",A1:CV300,37,FALSE)/HLOOKUP("Mins",A1:CV300,37,FALSE)* 90)</f>
      </c>
      <c r="AY37" s="18071">
        <f>IF(HLOOKUP("Mins",A1:CV300,37,FALSE)=0,0,HLOOKUP("BPS",A1:CV300,37,FALSE)/HLOOKUP("Mins",A1:CV300,37,FALSE)* 90)</f>
      </c>
      <c r="AZ37" s="18072">
        <f>IF(HLOOKUP("Mins",A1:CV300,37,FALSE)=0,0,HLOOKUP("Base BPS",A1:CV300,37,FALSE)/HLOOKUP("Mins",A1:CV300,37,FALSE)* 90)</f>
      </c>
      <c r="BA37" s="18073">
        <f>IF(HLOOKUP("Mins",A1:CV300,37,FALSE)=0,0,HLOOKUP("PenTchs",A1:CV300,37,FALSE)/HLOOKUP("Mins",A1:CV300,37,FALSE)* 90)</f>
      </c>
      <c r="BB37" s="18074">
        <f>IF(HLOOKUP("Mins",A1:CV300,37,FALSE)=0,0,HLOOKUP("Shots",A1:CV300,37,FALSE)/HLOOKUP("Mins",A1:CV300,37,FALSE)* 90)</f>
      </c>
      <c r="BC37" s="18075">
        <f>IF(HLOOKUP("Mins",A1:CV300,37,FALSE)=0,0,HLOOKUP("SIB",A1:CV300,37,FALSE)/HLOOKUP("Mins",A1:CV300,37,FALSE)* 90)</f>
      </c>
      <c r="BD37" s="18076">
        <f>IF(HLOOKUP("Mins",A1:CV300,37,FALSE)=0,0,HLOOKUP("S6YD",A1:CV300,37,FALSE)/HLOOKUP("Mins",A1:CV300,37,FALSE)* 90)</f>
      </c>
      <c r="BE37" s="18077">
        <f>IF(HLOOKUP("Mins",A1:CV300,37,FALSE)=0,0,HLOOKUP("Headers",A1:CV300,37,FALSE)/HLOOKUP("Mins",A1:CV300,37,FALSE)* 90)</f>
      </c>
      <c r="BF37" s="18078">
        <f>IF(HLOOKUP("Mins",A1:CV300,37,FALSE)=0,0,HLOOKUP("SOT",A1:CV300,37,FALSE)/HLOOKUP("Mins",A1:CV300,37,FALSE)* 90)</f>
      </c>
      <c r="BG37" s="18079">
        <f>IF(HLOOKUP("Mins",A1:CV300,37,FALSE)=0,0,HLOOKUP("As",A1:CV300,37,FALSE)/HLOOKUP("Mins",A1:CV300,37,FALSE)* 90)</f>
      </c>
      <c r="BH37" s="18080">
        <f>IF(HLOOKUP("Mins",A1:CV300,37,FALSE)=0,0,HLOOKUP("FPL As",A1:CV300,37,FALSE)/HLOOKUP("Mins",A1:CV300,37,FALSE)* 90)</f>
      </c>
      <c r="BI37" s="18081">
        <f>IF(HLOOKUP("Mins",A1:CV300,37,FALSE)=0,0,HLOOKUP("BC Created",A1:CV300,37,FALSE)/HLOOKUP("Mins",A1:CV300,37,FALSE)* 90)</f>
      </c>
      <c r="BJ37" s="18082">
        <f>IF(HLOOKUP("Mins",A1:CV300,37,FALSE)=0,0,HLOOKUP("KP",A1:CV300,37,FALSE)/HLOOKUP("Mins",A1:CV300,37,FALSE)* 90)</f>
      </c>
      <c r="BK37" s="18083">
        <f>IF(HLOOKUP("Mins",A1:CV300,37,FALSE)=0,0,HLOOKUP("BC",A1:CV300,37,FALSE)/HLOOKUP("Mins",A1:CV300,37,FALSE)* 90)</f>
      </c>
      <c r="BL37" s="18084">
        <f>IF(HLOOKUP("Mins",A1:CV300,37,FALSE)=0,0,HLOOKUP("BC Miss",A1:CV300,37,FALSE)/HLOOKUP("Mins",A1:CV300,37,FALSE)* 90)</f>
      </c>
      <c r="BM37" s="18085">
        <f>IF(HLOOKUP("Mins",A1:CV300,37,FALSE)=0,0,HLOOKUP("Gs - BC",A1:CV300,37,FALSE)/HLOOKUP("Mins",A1:CV300,37,FALSE)* 90)</f>
      </c>
      <c r="BN37" s="18086">
        <f>IF(HLOOKUP("Mins",A1:CV300,37,FALSE)=0,0,HLOOKUP("GIB",A1:CV300,37,FALSE)/HLOOKUP("Mins",A1:CV300,37,FALSE)* 90)</f>
      </c>
      <c r="BO37" s="18087">
        <f>IF(HLOOKUP("Mins",A1:CV300,37,FALSE)=0,0,HLOOKUP("Gs - Open",A1:CV300,37,FALSE)/HLOOKUP("Mins",A1:CV300,37,FALSE)* 90)</f>
      </c>
      <c r="BP37" s="18088">
        <f>IF(HLOOKUP("Mins",A1:CV300,37,FALSE)=0,0,HLOOKUP("ICT Index",A1:CV300,37,FALSE)/HLOOKUP("Mins",A1:CV300,37,FALSE)* 90)</f>
      </c>
      <c r="BQ37" s="18089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18090">
        <f>0.0885*HLOOKUP("KP/90",A1:CV300,37,FALSE)</f>
      </c>
      <c r="BS37" s="18091">
        <f>5*HLOOKUP("xG/90",A1:CV300,37,FALSE)+3*HLOOKUP("xA/90",A1:CV300,37,FALSE)</f>
      </c>
      <c r="BT37" s="18092">
        <f>HLOOKUP("xPts/90",A1:CV300,37,FALSE)-(5*0.75*(HLOOKUP("PK Gs",A1:CV300,37,FALSE)+HLOOKUP("PK Miss",A1:CV300,37,FALSE))*90/HLOOKUP("Mins",A1:CV300,37,FALSE))</f>
      </c>
      <c r="BU37" s="18093">
        <f>IF(HLOOKUP("Mins",A1:CV300,37,FALSE)=0,0,HLOOKUP("fsXG",A1:CV300,37,FALSE)/HLOOKUP("Mins",A1:CV300,37,FALSE)* 90)</f>
      </c>
      <c r="BV37" s="18094">
        <f>IF(HLOOKUP("Mins",A1:CV300,37,FALSE)=0,0,HLOOKUP("fsXA",A1:CV300,37,FALSE)/HLOOKUP("Mins",A1:CV300,37,FALSE)* 90)</f>
      </c>
      <c r="BW37" s="18095">
        <f>5*HLOOKUP("fsXG/90",A1:CV300,37,FALSE)+3*HLOOKUP("fsXA/90",A1:CV300,37,FALSE)</f>
      </c>
      <c r="BX37" t="n" s="18096">
        <v>0.15794627368450165</v>
      </c>
      <c r="BY37" t="n" s="18097">
        <v>0.29880183935165405</v>
      </c>
      <c r="BZ37" s="18098">
        <f>5*HLOOKUP("uXG/90",A1:CV300,37,FALSE)+3*HLOOKUP("uXA/90",A1:CV300,37,FALSE)</f>
      </c>
    </row>
    <row r="38">
      <c r="A38" t="s" s="18099">
        <v>329</v>
      </c>
      <c r="B38" t="s" s="18100">
        <v>82</v>
      </c>
      <c r="C38" t="n" s="18101">
        <v>7.699999809265137</v>
      </c>
      <c r="D38" t="n" s="18102">
        <v>449.0</v>
      </c>
      <c r="E38" t="n" s="18103">
        <v>6.0</v>
      </c>
      <c r="F38" t="n" s="18104">
        <v>105.0</v>
      </c>
      <c r="G38" t="n" s="18105">
        <v>1.0</v>
      </c>
      <c r="H38" t="n" s="18106">
        <v>14.0</v>
      </c>
      <c r="I38" t="n" s="18107">
        <v>398.0</v>
      </c>
      <c r="J38" s="18108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18109">
        <v>0.0</v>
      </c>
      <c r="L38" t="n" s="18110">
        <v>7.0</v>
      </c>
      <c r="M38" t="n" s="18111">
        <v>4.0</v>
      </c>
      <c r="N38" t="n" s="18112">
        <v>8.0</v>
      </c>
      <c r="O38" t="n" s="18113">
        <v>2.0</v>
      </c>
      <c r="P38" s="18114">
        <f>IF(HLOOKUP("Shots",A1:CV300,38,FALSE)=0,0,HLOOKUP("SIB",A1:CV300,38,FALSE)/HLOOKUP("Shots",A1:CV300,38,FALSE))</f>
      </c>
      <c r="Q38" t="n" s="18115">
        <v>0.0</v>
      </c>
      <c r="R38" s="18116">
        <f>IF(HLOOKUP("Shots",A1:CV300,38,FALSE)=0,0,HLOOKUP("S6YD",A1:CV300,38,FALSE)/HLOOKUP("Shots",A1:CV300,38,FALSE))</f>
      </c>
      <c r="S38" t="n" s="18117">
        <v>0.0</v>
      </c>
      <c r="T38" s="18118">
        <f>IF(HLOOKUP("Shots",A1:CV300,38,FALSE)=0,0,HLOOKUP("Headers",A1:CV300,38,FALSE)/HLOOKUP("Shots",A1:CV300,38,FALSE))</f>
      </c>
      <c r="U38" t="n" s="18119">
        <v>4.0</v>
      </c>
      <c r="V38" s="18120">
        <f>IF(HLOOKUP("Shots",A1:CV300,38,FALSE)=0,0,HLOOKUP("SOT",A1:CV300,38,FALSE)/HLOOKUP("Shots",A1:CV300,38,FALSE))</f>
      </c>
      <c r="W38" s="18121">
        <f>IF(HLOOKUP("Shots",A1:CV300,38,FALSE)=0,0,HLOOKUP("Gs",A1:CV300,38,FALSE)/HLOOKUP("Shots",A1:CV300,38,FALSE))</f>
      </c>
      <c r="X38" t="n" s="18122">
        <v>0.0</v>
      </c>
      <c r="Y38" t="n" s="18123">
        <v>5.0</v>
      </c>
      <c r="Z38" t="n" s="18124">
        <v>13.0</v>
      </c>
      <c r="AA38" s="18125">
        <f>IF(HLOOKUP("KP",A1:CV300,38,FALSE)=0,0,HLOOKUP("As",A1:CV300,38,FALSE)/HLOOKUP("KP",A1:CV300,38,FALSE))</f>
      </c>
      <c r="AB38" s="18126"/>
      <c r="AC38" t="n" s="18127">
        <v>20.0</v>
      </c>
      <c r="AD38" t="n" s="18128">
        <v>0.0</v>
      </c>
      <c r="AE38" t="n" s="18129">
        <v>0.0</v>
      </c>
      <c r="AF38" t="n" s="18130">
        <v>0.0</v>
      </c>
      <c r="AG38" s="18131">
        <f>IF(HLOOKUP("BC",A1:CV300,38,FALSE)=0,0,HLOOKUP("Gs - BC",A1:CV300,38,FALSE)/HLOOKUP("BC",A1:CV300,38,FALSE))</f>
      </c>
      <c r="AH38" s="18132">
        <f>HLOOKUP("BC",A1:CV300,38,FALSE) - HLOOKUP("BC Miss",A1:CV300,38,FALSE)</f>
      </c>
      <c r="AI38" s="18133">
        <f>IF(HLOOKUP("Gs",A1:CV300,38,FALSE)=0,0,HLOOKUP("Gs - BC",A1:CV300,38,FALSE)/HLOOKUP("Gs",A1:CV300,38,FALSE))</f>
      </c>
      <c r="AJ38" t="n" s="18134">
        <v>0.0</v>
      </c>
      <c r="AK38" t="n" s="18135">
        <v>0.0</v>
      </c>
      <c r="AL38" s="18136">
        <f>HLOOKUP("BC",A1:CV300,38,FALSE) - (HLOOKUP("PK Gs",A1:CV300,38,FALSE) + HLOOKUP("PK Miss",A1:CV300,38,FALSE))</f>
      </c>
      <c r="AM38" s="18137">
        <f>HLOOKUP("BC Miss",A1:CV300,38,FALSE) - HLOOKUP("PK Miss",A1:CV300,38,FALSE)</f>
      </c>
      <c r="AN38" s="18138">
        <f>IF(HLOOKUP("BC - Open",A1:CV300,38,FALSE)=0,0,HLOOKUP("BC - Open Miss",A1:CV300,38,FALSE)/HLOOKUP("BC - Open",A1:CV300,38,FALSE))</f>
      </c>
      <c r="AO38" t="n" s="18139">
        <v>0.0</v>
      </c>
      <c r="AP38" s="18140">
        <f>IF(HLOOKUP("Gs",A1:CV300,38,FALSE)=0,0,HLOOKUP("GIB",A1:CV300,38,FALSE)/HLOOKUP("Gs",A1:CV300,38,FALSE))</f>
      </c>
      <c r="AQ38" t="n" s="18141">
        <v>1.0</v>
      </c>
      <c r="AR38" s="18142">
        <f>IF(HLOOKUP("Gs",A1:CV300,38,FALSE)=0,0,HLOOKUP("Gs - Open",A1:CV300,38,FALSE)/HLOOKUP("Gs",A1:CV300,38,FALSE))</f>
      </c>
      <c r="AS38" t="n" s="18143">
        <v>0.37</v>
      </c>
      <c r="AT38" t="n" s="18144">
        <v>1.14</v>
      </c>
      <c r="AU38" s="18145">
        <f>IF(HLOOKUP("Mins",A1:CV300,38,FALSE)=0,0,HLOOKUP("Pts",A1:CV300,38,FALSE)/HLOOKUP("Mins",A1:CV300,38,FALSE)* 90)</f>
      </c>
      <c r="AV38" s="18146">
        <f>IF(HLOOKUP("Apps",A1:CV300,38,FALSE)=0,0,HLOOKUP("Pts",A1:CV300,38,FALSE)/HLOOKUP("Apps",A1:CV300,38,FALSE)* 1)</f>
      </c>
      <c r="AW38" s="18147">
        <f>IF(HLOOKUP("Mins",A1:CV300,38,FALSE)=0,0,HLOOKUP("Gs",A1:CV300,38,FALSE)/HLOOKUP("Mins",A1:CV300,38,FALSE)* 90)</f>
      </c>
      <c r="AX38" s="18148">
        <f>IF(HLOOKUP("Mins",A1:CV300,38,FALSE)=0,0,HLOOKUP("Bonus",A1:CV300,38,FALSE)/HLOOKUP("Mins",A1:CV300,38,FALSE)* 90)</f>
      </c>
      <c r="AY38" s="18149">
        <f>IF(HLOOKUP("Mins",A1:CV300,38,FALSE)=0,0,HLOOKUP("BPS",A1:CV300,38,FALSE)/HLOOKUP("Mins",A1:CV300,38,FALSE)* 90)</f>
      </c>
      <c r="AZ38" s="18150">
        <f>IF(HLOOKUP("Mins",A1:CV300,38,FALSE)=0,0,HLOOKUP("Base BPS",A1:CV300,38,FALSE)/HLOOKUP("Mins",A1:CV300,38,FALSE)* 90)</f>
      </c>
      <c r="BA38" s="18151">
        <f>IF(HLOOKUP("Mins",A1:CV300,38,FALSE)=0,0,HLOOKUP("PenTchs",A1:CV300,38,FALSE)/HLOOKUP("Mins",A1:CV300,38,FALSE)* 90)</f>
      </c>
      <c r="BB38" s="18152">
        <f>IF(HLOOKUP("Mins",A1:CV300,38,FALSE)=0,0,HLOOKUP("Shots",A1:CV300,38,FALSE)/HLOOKUP("Mins",A1:CV300,38,FALSE)* 90)</f>
      </c>
      <c r="BC38" s="18153">
        <f>IF(HLOOKUP("Mins",A1:CV300,38,FALSE)=0,0,HLOOKUP("SIB",A1:CV300,38,FALSE)/HLOOKUP("Mins",A1:CV300,38,FALSE)* 90)</f>
      </c>
      <c r="BD38" s="18154">
        <f>IF(HLOOKUP("Mins",A1:CV300,38,FALSE)=0,0,HLOOKUP("S6YD",A1:CV300,38,FALSE)/HLOOKUP("Mins",A1:CV300,38,FALSE)* 90)</f>
      </c>
      <c r="BE38" s="18155">
        <f>IF(HLOOKUP("Mins",A1:CV300,38,FALSE)=0,0,HLOOKUP("Headers",A1:CV300,38,FALSE)/HLOOKUP("Mins",A1:CV300,38,FALSE)* 90)</f>
      </c>
      <c r="BF38" s="18156">
        <f>IF(HLOOKUP("Mins",A1:CV300,38,FALSE)=0,0,HLOOKUP("SOT",A1:CV300,38,FALSE)/HLOOKUP("Mins",A1:CV300,38,FALSE)* 90)</f>
      </c>
      <c r="BG38" s="18157">
        <f>IF(HLOOKUP("Mins",A1:CV300,38,FALSE)=0,0,HLOOKUP("As",A1:CV300,38,FALSE)/HLOOKUP("Mins",A1:CV300,38,FALSE)* 90)</f>
      </c>
      <c r="BH38" s="18158">
        <f>IF(HLOOKUP("Mins",A1:CV300,38,FALSE)=0,0,HLOOKUP("FPL As",A1:CV300,38,FALSE)/HLOOKUP("Mins",A1:CV300,38,FALSE)* 90)</f>
      </c>
      <c r="BI38" s="18159">
        <f>IF(HLOOKUP("Mins",A1:CV300,38,FALSE)=0,0,HLOOKUP("BC Created",A1:CV300,38,FALSE)/HLOOKUP("Mins",A1:CV300,38,FALSE)* 90)</f>
      </c>
      <c r="BJ38" s="18160">
        <f>IF(HLOOKUP("Mins",A1:CV300,38,FALSE)=0,0,HLOOKUP("KP",A1:CV300,38,FALSE)/HLOOKUP("Mins",A1:CV300,38,FALSE)* 90)</f>
      </c>
      <c r="BK38" s="18161">
        <f>IF(HLOOKUP("Mins",A1:CV300,38,FALSE)=0,0,HLOOKUP("BC",A1:CV300,38,FALSE)/HLOOKUP("Mins",A1:CV300,38,FALSE)* 90)</f>
      </c>
      <c r="BL38" s="18162">
        <f>IF(HLOOKUP("Mins",A1:CV300,38,FALSE)=0,0,HLOOKUP("BC Miss",A1:CV300,38,FALSE)/HLOOKUP("Mins",A1:CV300,38,FALSE)* 90)</f>
      </c>
      <c r="BM38" s="18163">
        <f>IF(HLOOKUP("Mins",A1:CV300,38,FALSE)=0,0,HLOOKUP("Gs - BC",A1:CV300,38,FALSE)/HLOOKUP("Mins",A1:CV300,38,FALSE)* 90)</f>
      </c>
      <c r="BN38" s="18164">
        <f>IF(HLOOKUP("Mins",A1:CV300,38,FALSE)=0,0,HLOOKUP("GIB",A1:CV300,38,FALSE)/HLOOKUP("Mins",A1:CV300,38,FALSE)* 90)</f>
      </c>
      <c r="BO38" s="18165">
        <f>IF(HLOOKUP("Mins",A1:CV300,38,FALSE)=0,0,HLOOKUP("Gs - Open",A1:CV300,38,FALSE)/HLOOKUP("Mins",A1:CV300,38,FALSE)* 90)</f>
      </c>
      <c r="BP38" s="18166">
        <f>IF(HLOOKUP("Mins",A1:CV300,38,FALSE)=0,0,HLOOKUP("ICT Index",A1:CV300,38,FALSE)/HLOOKUP("Mins",A1:CV300,38,FALSE)* 90)</f>
      </c>
      <c r="BQ38" s="18167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18168">
        <f>0.0885*HLOOKUP("KP/90",A1:CV300,38,FALSE)</f>
      </c>
      <c r="BS38" s="18169">
        <f>5*HLOOKUP("xG/90",A1:CV300,38,FALSE)+3*HLOOKUP("xA/90",A1:CV300,38,FALSE)</f>
      </c>
      <c r="BT38" s="18170">
        <f>HLOOKUP("xPts/90",A1:CV300,38,FALSE)-(5*0.75*(HLOOKUP("PK Gs",A1:CV300,38,FALSE)+HLOOKUP("PK Miss",A1:CV300,38,FALSE))*90/HLOOKUP("Mins",A1:CV300,38,FALSE))</f>
      </c>
      <c r="BU38" s="18171">
        <f>IF(HLOOKUP("Mins",A1:CV300,38,FALSE)=0,0,HLOOKUP("fsXG",A1:CV300,38,FALSE)/HLOOKUP("Mins",A1:CV300,38,FALSE)* 90)</f>
      </c>
      <c r="BV38" s="18172">
        <f>IF(HLOOKUP("Mins",A1:CV300,38,FALSE)=0,0,HLOOKUP("fsXA",A1:CV300,38,FALSE)/HLOOKUP("Mins",A1:CV300,38,FALSE)* 90)</f>
      </c>
      <c r="BW38" s="18173">
        <f>5*HLOOKUP("fsXG/90",A1:CV300,38,FALSE)+3*HLOOKUP("fsXA/90",A1:CV300,38,FALSE)</f>
      </c>
      <c r="BX38" t="n" s="18174">
        <v>0.0741717740893364</v>
      </c>
      <c r="BY38" t="n" s="18175">
        <v>0.1940060406923294</v>
      </c>
      <c r="BZ38" s="18176">
        <f>5*HLOOKUP("uXG/90",A1:CV300,38,FALSE)+3*HLOOKUP("uXA/90",A1:CV300,38,FALSE)</f>
      </c>
    </row>
    <row r="39">
      <c r="A39" t="s" s="18177">
        <v>330</v>
      </c>
      <c r="B39" t="s" s="18178">
        <v>92</v>
      </c>
      <c r="C39" t="n" s="18179">
        <v>6.900000095367432</v>
      </c>
      <c r="D39" t="n" s="18180">
        <v>433.0</v>
      </c>
      <c r="E39" t="n" s="18181">
        <v>6.0</v>
      </c>
      <c r="F39" t="n" s="18182">
        <v>54.0</v>
      </c>
      <c r="G39" t="n" s="18183">
        <v>0.0</v>
      </c>
      <c r="H39" t="n" s="18184">
        <v>2.0</v>
      </c>
      <c r="I39" t="n" s="18185">
        <v>211.0</v>
      </c>
      <c r="J39" s="18186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18187">
        <v>0.0</v>
      </c>
      <c r="L39" t="n" s="18188">
        <v>4.0</v>
      </c>
      <c r="M39" t="n" s="18189">
        <v>12.0</v>
      </c>
      <c r="N39" t="n" s="18190">
        <v>5.0</v>
      </c>
      <c r="O39" t="n" s="18191">
        <v>5.0</v>
      </c>
      <c r="P39" s="18192">
        <f>IF(HLOOKUP("Shots",A1:CV300,39,FALSE)=0,0,HLOOKUP("SIB",A1:CV300,39,FALSE)/HLOOKUP("Shots",A1:CV300,39,FALSE))</f>
      </c>
      <c r="Q39" t="n" s="18193">
        <v>0.0</v>
      </c>
      <c r="R39" s="18194">
        <f>IF(HLOOKUP("Shots",A1:CV300,39,FALSE)=0,0,HLOOKUP("S6YD",A1:CV300,39,FALSE)/HLOOKUP("Shots",A1:CV300,39,FALSE))</f>
      </c>
      <c r="S39" t="n" s="18195">
        <v>0.0</v>
      </c>
      <c r="T39" s="18196">
        <f>IF(HLOOKUP("Shots",A1:CV300,39,FALSE)=0,0,HLOOKUP("Headers",A1:CV300,39,FALSE)/HLOOKUP("Shots",A1:CV300,39,FALSE))</f>
      </c>
      <c r="U39" t="n" s="18197">
        <v>2.0</v>
      </c>
      <c r="V39" s="18198">
        <f>IF(HLOOKUP("Shots",A1:CV300,39,FALSE)=0,0,HLOOKUP("SOT",A1:CV300,39,FALSE)/HLOOKUP("Shots",A1:CV300,39,FALSE))</f>
      </c>
      <c r="W39" s="18199">
        <f>IF(HLOOKUP("Shots",A1:CV300,39,FALSE)=0,0,HLOOKUP("Gs",A1:CV300,39,FALSE)/HLOOKUP("Shots",A1:CV300,39,FALSE))</f>
      </c>
      <c r="X39" t="n" s="18200">
        <v>0.0</v>
      </c>
      <c r="Y39" t="n" s="18201">
        <v>3.0</v>
      </c>
      <c r="Z39" t="n" s="18202">
        <v>9.0</v>
      </c>
      <c r="AA39" s="18203">
        <f>IF(HLOOKUP("KP",A1:CV300,39,FALSE)=0,0,HLOOKUP("As",A1:CV300,39,FALSE)/HLOOKUP("KP",A1:CV300,39,FALSE))</f>
      </c>
      <c r="AB39" s="18204"/>
      <c r="AC39" t="n" s="18205">
        <v>0.0</v>
      </c>
      <c r="AD39" t="n" s="18206">
        <v>1.0</v>
      </c>
      <c r="AE39" t="n" s="18207">
        <v>1.0</v>
      </c>
      <c r="AF39" t="n" s="18208">
        <v>1.0</v>
      </c>
      <c r="AG39" s="18209">
        <f>IF(HLOOKUP("BC",A1:CV300,39,FALSE)=0,0,HLOOKUP("Gs - BC",A1:CV300,39,FALSE)/HLOOKUP("BC",A1:CV300,39,FALSE))</f>
      </c>
      <c r="AH39" s="18210">
        <f>HLOOKUP("BC",A1:CV300,39,FALSE) - HLOOKUP("BC Miss",A1:CV300,39,FALSE)</f>
      </c>
      <c r="AI39" s="18211">
        <f>IF(HLOOKUP("Gs",A1:CV300,39,FALSE)=0,0,HLOOKUP("Gs - BC",A1:CV300,39,FALSE)/HLOOKUP("Gs",A1:CV300,39,FALSE))</f>
      </c>
      <c r="AJ39" t="n" s="18212">
        <v>0.0</v>
      </c>
      <c r="AK39" t="n" s="18213">
        <v>0.0</v>
      </c>
      <c r="AL39" s="18214">
        <f>HLOOKUP("BC",A1:CV300,39,FALSE) - (HLOOKUP("PK Gs",A1:CV300,39,FALSE) + HLOOKUP("PK Miss",A1:CV300,39,FALSE))</f>
      </c>
      <c r="AM39" s="18215">
        <f>HLOOKUP("BC Miss",A1:CV300,39,FALSE) - HLOOKUP("PK Miss",A1:CV300,39,FALSE)</f>
      </c>
      <c r="AN39" s="18216">
        <f>IF(HLOOKUP("BC - Open",A1:CV300,39,FALSE)=0,0,HLOOKUP("BC - Open Miss",A1:CV300,39,FALSE)/HLOOKUP("BC - Open",A1:CV300,39,FALSE))</f>
      </c>
      <c r="AO39" t="n" s="18217">
        <v>0.0</v>
      </c>
      <c r="AP39" s="18218">
        <f>IF(HLOOKUP("Gs",A1:CV300,39,FALSE)=0,0,HLOOKUP("GIB",A1:CV300,39,FALSE)/HLOOKUP("Gs",A1:CV300,39,FALSE))</f>
      </c>
      <c r="AQ39" t="n" s="18219">
        <v>0.0</v>
      </c>
      <c r="AR39" s="18220">
        <f>IF(HLOOKUP("Gs",A1:CV300,39,FALSE)=0,0,HLOOKUP("Gs - Open",A1:CV300,39,FALSE)/HLOOKUP("Gs",A1:CV300,39,FALSE))</f>
      </c>
      <c r="AS39" t="n" s="18221">
        <v>0.55</v>
      </c>
      <c r="AT39" t="n" s="18222">
        <v>0.85</v>
      </c>
      <c r="AU39" s="18223">
        <f>IF(HLOOKUP("Mins",A1:CV300,39,FALSE)=0,0,HLOOKUP("Pts",A1:CV300,39,FALSE)/HLOOKUP("Mins",A1:CV300,39,FALSE)* 90)</f>
      </c>
      <c r="AV39" s="18224">
        <f>IF(HLOOKUP("Apps",A1:CV300,39,FALSE)=0,0,HLOOKUP("Pts",A1:CV300,39,FALSE)/HLOOKUP("Apps",A1:CV300,39,FALSE)* 1)</f>
      </c>
      <c r="AW39" s="18225">
        <f>IF(HLOOKUP("Mins",A1:CV300,39,FALSE)=0,0,HLOOKUP("Gs",A1:CV300,39,FALSE)/HLOOKUP("Mins",A1:CV300,39,FALSE)* 90)</f>
      </c>
      <c r="AX39" s="18226">
        <f>IF(HLOOKUP("Mins",A1:CV300,39,FALSE)=0,0,HLOOKUP("Bonus",A1:CV300,39,FALSE)/HLOOKUP("Mins",A1:CV300,39,FALSE)* 90)</f>
      </c>
      <c r="AY39" s="18227">
        <f>IF(HLOOKUP("Mins",A1:CV300,39,FALSE)=0,0,HLOOKUP("BPS",A1:CV300,39,FALSE)/HLOOKUP("Mins",A1:CV300,39,FALSE)* 90)</f>
      </c>
      <c r="AZ39" s="18228">
        <f>IF(HLOOKUP("Mins",A1:CV300,39,FALSE)=0,0,HLOOKUP("Base BPS",A1:CV300,39,FALSE)/HLOOKUP("Mins",A1:CV300,39,FALSE)* 90)</f>
      </c>
      <c r="BA39" s="18229">
        <f>IF(HLOOKUP("Mins",A1:CV300,39,FALSE)=0,0,HLOOKUP("PenTchs",A1:CV300,39,FALSE)/HLOOKUP("Mins",A1:CV300,39,FALSE)* 90)</f>
      </c>
      <c r="BB39" s="18230">
        <f>IF(HLOOKUP("Mins",A1:CV300,39,FALSE)=0,0,HLOOKUP("Shots",A1:CV300,39,FALSE)/HLOOKUP("Mins",A1:CV300,39,FALSE)* 90)</f>
      </c>
      <c r="BC39" s="18231">
        <f>IF(HLOOKUP("Mins",A1:CV300,39,FALSE)=0,0,HLOOKUP("SIB",A1:CV300,39,FALSE)/HLOOKUP("Mins",A1:CV300,39,FALSE)* 90)</f>
      </c>
      <c r="BD39" s="18232">
        <f>IF(HLOOKUP("Mins",A1:CV300,39,FALSE)=0,0,HLOOKUP("S6YD",A1:CV300,39,FALSE)/HLOOKUP("Mins",A1:CV300,39,FALSE)* 90)</f>
      </c>
      <c r="BE39" s="18233">
        <f>IF(HLOOKUP("Mins",A1:CV300,39,FALSE)=0,0,HLOOKUP("Headers",A1:CV300,39,FALSE)/HLOOKUP("Mins",A1:CV300,39,FALSE)* 90)</f>
      </c>
      <c r="BF39" s="18234">
        <f>IF(HLOOKUP("Mins",A1:CV300,39,FALSE)=0,0,HLOOKUP("SOT",A1:CV300,39,FALSE)/HLOOKUP("Mins",A1:CV300,39,FALSE)* 90)</f>
      </c>
      <c r="BG39" s="18235">
        <f>IF(HLOOKUP("Mins",A1:CV300,39,FALSE)=0,0,HLOOKUP("As",A1:CV300,39,FALSE)/HLOOKUP("Mins",A1:CV300,39,FALSE)* 90)</f>
      </c>
      <c r="BH39" s="18236">
        <f>IF(HLOOKUP("Mins",A1:CV300,39,FALSE)=0,0,HLOOKUP("FPL As",A1:CV300,39,FALSE)/HLOOKUP("Mins",A1:CV300,39,FALSE)* 90)</f>
      </c>
      <c r="BI39" s="18237">
        <f>IF(HLOOKUP("Mins",A1:CV300,39,FALSE)=0,0,HLOOKUP("BC Created",A1:CV300,39,FALSE)/HLOOKUP("Mins",A1:CV300,39,FALSE)* 90)</f>
      </c>
      <c r="BJ39" s="18238">
        <f>IF(HLOOKUP("Mins",A1:CV300,39,FALSE)=0,0,HLOOKUP("KP",A1:CV300,39,FALSE)/HLOOKUP("Mins",A1:CV300,39,FALSE)* 90)</f>
      </c>
      <c r="BK39" s="18239">
        <f>IF(HLOOKUP("Mins",A1:CV300,39,FALSE)=0,0,HLOOKUP("BC",A1:CV300,39,FALSE)/HLOOKUP("Mins",A1:CV300,39,FALSE)* 90)</f>
      </c>
      <c r="BL39" s="18240">
        <f>IF(HLOOKUP("Mins",A1:CV300,39,FALSE)=0,0,HLOOKUP("BC Miss",A1:CV300,39,FALSE)/HLOOKUP("Mins",A1:CV300,39,FALSE)* 90)</f>
      </c>
      <c r="BM39" s="18241">
        <f>IF(HLOOKUP("Mins",A1:CV300,39,FALSE)=0,0,HLOOKUP("Gs - BC",A1:CV300,39,FALSE)/HLOOKUP("Mins",A1:CV300,39,FALSE)* 90)</f>
      </c>
      <c r="BN39" s="18242">
        <f>IF(HLOOKUP("Mins",A1:CV300,39,FALSE)=0,0,HLOOKUP("GIB",A1:CV300,39,FALSE)/HLOOKUP("Mins",A1:CV300,39,FALSE)* 90)</f>
      </c>
      <c r="BO39" s="18243">
        <f>IF(HLOOKUP("Mins",A1:CV300,39,FALSE)=0,0,HLOOKUP("Gs - Open",A1:CV300,39,FALSE)/HLOOKUP("Mins",A1:CV300,39,FALSE)* 90)</f>
      </c>
      <c r="BP39" s="18244">
        <f>IF(HLOOKUP("Mins",A1:CV300,39,FALSE)=0,0,HLOOKUP("ICT Index",A1:CV300,39,FALSE)/HLOOKUP("Mins",A1:CV300,39,FALSE)* 90)</f>
      </c>
      <c r="BQ39" s="18245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18246">
        <f>0.0885*HLOOKUP("KP/90",A1:CV300,39,FALSE)</f>
      </c>
      <c r="BS39" s="18247">
        <f>5*HLOOKUP("xG/90",A1:CV300,39,FALSE)+3*HLOOKUP("xA/90",A1:CV300,39,FALSE)</f>
      </c>
      <c r="BT39" s="18248">
        <f>HLOOKUP("xPts/90",A1:CV300,39,FALSE)-(5*0.75*(HLOOKUP("PK Gs",A1:CV300,39,FALSE)+HLOOKUP("PK Miss",A1:CV300,39,FALSE))*90/HLOOKUP("Mins",A1:CV300,39,FALSE))</f>
      </c>
      <c r="BU39" s="18249">
        <f>IF(HLOOKUP("Mins",A1:CV300,39,FALSE)=0,0,HLOOKUP("fsXG",A1:CV300,39,FALSE)/HLOOKUP("Mins",A1:CV300,39,FALSE)* 90)</f>
      </c>
      <c r="BV39" s="18250">
        <f>IF(HLOOKUP("Mins",A1:CV300,39,FALSE)=0,0,HLOOKUP("fsXA",A1:CV300,39,FALSE)/HLOOKUP("Mins",A1:CV300,39,FALSE)* 90)</f>
      </c>
      <c r="BW39" s="18251">
        <f>5*HLOOKUP("fsXG/90",A1:CV300,39,FALSE)+3*HLOOKUP("fsXA/90",A1:CV300,39,FALSE)</f>
      </c>
      <c r="BX39" t="n" s="18252">
        <v>0.11025922000408173</v>
      </c>
      <c r="BY39" t="n" s="18253">
        <v>0.2464185208082199</v>
      </c>
      <c r="BZ39" s="18254">
        <f>5*HLOOKUP("uXG/90",A1:CV300,39,FALSE)+3*HLOOKUP("uXA/90",A1:CV300,39,FALSE)</f>
      </c>
    </row>
    <row r="40">
      <c r="A40" t="s" s="18255">
        <v>331</v>
      </c>
      <c r="B40" t="s" s="18256">
        <v>90</v>
      </c>
      <c r="C40" t="n" s="18257">
        <v>5.099999904632568</v>
      </c>
      <c r="D40" t="n" s="18258">
        <v>96.0</v>
      </c>
      <c r="E40" t="n" s="18259">
        <v>4.0</v>
      </c>
      <c r="F40" t="n" s="18260">
        <v>23.0</v>
      </c>
      <c r="G40" t="n" s="18261">
        <v>0.0</v>
      </c>
      <c r="H40" t="n" s="18262">
        <v>0.0</v>
      </c>
      <c r="I40" t="n" s="18263">
        <v>73.0</v>
      </c>
      <c r="J40" s="18264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18265">
        <v>0.0</v>
      </c>
      <c r="L40" t="n" s="18266">
        <v>1.0</v>
      </c>
      <c r="M40" t="n" s="18267">
        <v>4.0</v>
      </c>
      <c r="N40" t="n" s="18268">
        <v>3.0</v>
      </c>
      <c r="O40" t="n" s="18269">
        <v>2.0</v>
      </c>
      <c r="P40" s="18270">
        <f>IF(HLOOKUP("Shots",A1:CV300,40,FALSE)=0,0,HLOOKUP("SIB",A1:CV300,40,FALSE)/HLOOKUP("Shots",A1:CV300,40,FALSE))</f>
      </c>
      <c r="Q40" t="n" s="18271">
        <v>0.0</v>
      </c>
      <c r="R40" s="18272">
        <f>IF(HLOOKUP("Shots",A1:CV300,40,FALSE)=0,0,HLOOKUP("S6YD",A1:CV300,40,FALSE)/HLOOKUP("Shots",A1:CV300,40,FALSE))</f>
      </c>
      <c r="S40" t="n" s="18273">
        <v>0.0</v>
      </c>
      <c r="T40" s="18274">
        <f>IF(HLOOKUP("Shots",A1:CV300,40,FALSE)=0,0,HLOOKUP("Headers",A1:CV300,40,FALSE)/HLOOKUP("Shots",A1:CV300,40,FALSE))</f>
      </c>
      <c r="U40" t="n" s="18275">
        <v>2.0</v>
      </c>
      <c r="V40" s="18276">
        <f>IF(HLOOKUP("Shots",A1:CV300,40,FALSE)=0,0,HLOOKUP("SOT",A1:CV300,40,FALSE)/HLOOKUP("Shots",A1:CV300,40,FALSE))</f>
      </c>
      <c r="W40" s="18277">
        <f>IF(HLOOKUP("Shots",A1:CV300,40,FALSE)=0,0,HLOOKUP("Gs",A1:CV300,40,FALSE)/HLOOKUP("Shots",A1:CV300,40,FALSE))</f>
      </c>
      <c r="X40" t="n" s="18278">
        <v>0.0</v>
      </c>
      <c r="Y40" t="n" s="18279">
        <v>0.0</v>
      </c>
      <c r="Z40" t="n" s="18280">
        <v>0.0</v>
      </c>
      <c r="AA40" s="18281">
        <f>IF(HLOOKUP("KP",A1:CV300,40,FALSE)=0,0,HLOOKUP("As",A1:CV300,40,FALSE)/HLOOKUP("KP",A1:CV300,40,FALSE))</f>
      </c>
      <c r="AB40" s="18282"/>
      <c r="AC40" t="n" s="18283">
        <v>0.0</v>
      </c>
      <c r="AD40" t="n" s="18284">
        <v>0.0</v>
      </c>
      <c r="AE40" t="n" s="18285">
        <v>0.0</v>
      </c>
      <c r="AF40" t="n" s="18286">
        <v>0.0</v>
      </c>
      <c r="AG40" s="18287">
        <f>IF(HLOOKUP("BC",A1:CV300,40,FALSE)=0,0,HLOOKUP("Gs - BC",A1:CV300,40,FALSE)/HLOOKUP("BC",A1:CV300,40,FALSE))</f>
      </c>
      <c r="AH40" s="18288">
        <f>HLOOKUP("BC",A1:CV300,40,FALSE) - HLOOKUP("BC Miss",A1:CV300,40,FALSE)</f>
      </c>
      <c r="AI40" s="18289">
        <f>IF(HLOOKUP("Gs",A1:CV300,40,FALSE)=0,0,HLOOKUP("Gs - BC",A1:CV300,40,FALSE)/HLOOKUP("Gs",A1:CV300,40,FALSE))</f>
      </c>
      <c r="AJ40" t="n" s="18290">
        <v>0.0</v>
      </c>
      <c r="AK40" t="n" s="18291">
        <v>0.0</v>
      </c>
      <c r="AL40" s="18292">
        <f>HLOOKUP("BC",A1:CV300,40,FALSE) - (HLOOKUP("PK Gs",A1:CV300,40,FALSE) + HLOOKUP("PK Miss",A1:CV300,40,FALSE))</f>
      </c>
      <c r="AM40" s="18293">
        <f>HLOOKUP("BC Miss",A1:CV300,40,FALSE) - HLOOKUP("PK Miss",A1:CV300,40,FALSE)</f>
      </c>
      <c r="AN40" s="18294">
        <f>IF(HLOOKUP("BC - Open",A1:CV300,40,FALSE)=0,0,HLOOKUP("BC - Open Miss",A1:CV300,40,FALSE)/HLOOKUP("BC - Open",A1:CV300,40,FALSE))</f>
      </c>
      <c r="AO40" t="n" s="18295">
        <v>0.0</v>
      </c>
      <c r="AP40" s="18296">
        <f>IF(HLOOKUP("Gs",A1:CV300,40,FALSE)=0,0,HLOOKUP("GIB",A1:CV300,40,FALSE)/HLOOKUP("Gs",A1:CV300,40,FALSE))</f>
      </c>
      <c r="AQ40" t="n" s="18297">
        <v>0.0</v>
      </c>
      <c r="AR40" s="18298">
        <f>IF(HLOOKUP("Gs",A1:CV300,40,FALSE)=0,0,HLOOKUP("Gs - Open",A1:CV300,40,FALSE)/HLOOKUP("Gs",A1:CV300,40,FALSE))</f>
      </c>
      <c r="AS40" t="n" s="18299">
        <v>0.2</v>
      </c>
      <c r="AT40" t="n" s="18300">
        <v>0.06</v>
      </c>
      <c r="AU40" s="18301">
        <f>IF(HLOOKUP("Mins",A1:CV300,40,FALSE)=0,0,HLOOKUP("Pts",A1:CV300,40,FALSE)/HLOOKUP("Mins",A1:CV300,40,FALSE)* 90)</f>
      </c>
      <c r="AV40" s="18302">
        <f>IF(HLOOKUP("Apps",A1:CV300,40,FALSE)=0,0,HLOOKUP("Pts",A1:CV300,40,FALSE)/HLOOKUP("Apps",A1:CV300,40,FALSE)* 1)</f>
      </c>
      <c r="AW40" s="18303">
        <f>IF(HLOOKUP("Mins",A1:CV300,40,FALSE)=0,0,HLOOKUP("Gs",A1:CV300,40,FALSE)/HLOOKUP("Mins",A1:CV300,40,FALSE)* 90)</f>
      </c>
      <c r="AX40" s="18304">
        <f>IF(HLOOKUP("Mins",A1:CV300,40,FALSE)=0,0,HLOOKUP("Bonus",A1:CV300,40,FALSE)/HLOOKUP("Mins",A1:CV300,40,FALSE)* 90)</f>
      </c>
      <c r="AY40" s="18305">
        <f>IF(HLOOKUP("Mins",A1:CV300,40,FALSE)=0,0,HLOOKUP("BPS",A1:CV300,40,FALSE)/HLOOKUP("Mins",A1:CV300,40,FALSE)* 90)</f>
      </c>
      <c r="AZ40" s="18306">
        <f>IF(HLOOKUP("Mins",A1:CV300,40,FALSE)=0,0,HLOOKUP("Base BPS",A1:CV300,40,FALSE)/HLOOKUP("Mins",A1:CV300,40,FALSE)* 90)</f>
      </c>
      <c r="BA40" s="18307">
        <f>IF(HLOOKUP("Mins",A1:CV300,40,FALSE)=0,0,HLOOKUP("PenTchs",A1:CV300,40,FALSE)/HLOOKUP("Mins",A1:CV300,40,FALSE)* 90)</f>
      </c>
      <c r="BB40" s="18308">
        <f>IF(HLOOKUP("Mins",A1:CV300,40,FALSE)=0,0,HLOOKUP("Shots",A1:CV300,40,FALSE)/HLOOKUP("Mins",A1:CV300,40,FALSE)* 90)</f>
      </c>
      <c r="BC40" s="18309">
        <f>IF(HLOOKUP("Mins",A1:CV300,40,FALSE)=0,0,HLOOKUP("SIB",A1:CV300,40,FALSE)/HLOOKUP("Mins",A1:CV300,40,FALSE)* 90)</f>
      </c>
      <c r="BD40" s="18310">
        <f>IF(HLOOKUP("Mins",A1:CV300,40,FALSE)=0,0,HLOOKUP("S6YD",A1:CV300,40,FALSE)/HLOOKUP("Mins",A1:CV300,40,FALSE)* 90)</f>
      </c>
      <c r="BE40" s="18311">
        <f>IF(HLOOKUP("Mins",A1:CV300,40,FALSE)=0,0,HLOOKUP("Headers",A1:CV300,40,FALSE)/HLOOKUP("Mins",A1:CV300,40,FALSE)* 90)</f>
      </c>
      <c r="BF40" s="18312">
        <f>IF(HLOOKUP("Mins",A1:CV300,40,FALSE)=0,0,HLOOKUP("SOT",A1:CV300,40,FALSE)/HLOOKUP("Mins",A1:CV300,40,FALSE)* 90)</f>
      </c>
      <c r="BG40" s="18313">
        <f>IF(HLOOKUP("Mins",A1:CV300,40,FALSE)=0,0,HLOOKUP("As",A1:CV300,40,FALSE)/HLOOKUP("Mins",A1:CV300,40,FALSE)* 90)</f>
      </c>
      <c r="BH40" s="18314">
        <f>IF(HLOOKUP("Mins",A1:CV300,40,FALSE)=0,0,HLOOKUP("FPL As",A1:CV300,40,FALSE)/HLOOKUP("Mins",A1:CV300,40,FALSE)* 90)</f>
      </c>
      <c r="BI40" s="18315">
        <f>IF(HLOOKUP("Mins",A1:CV300,40,FALSE)=0,0,HLOOKUP("BC Created",A1:CV300,40,FALSE)/HLOOKUP("Mins",A1:CV300,40,FALSE)* 90)</f>
      </c>
      <c r="BJ40" s="18316">
        <f>IF(HLOOKUP("Mins",A1:CV300,40,FALSE)=0,0,HLOOKUP("KP",A1:CV300,40,FALSE)/HLOOKUP("Mins",A1:CV300,40,FALSE)* 90)</f>
      </c>
      <c r="BK40" s="18317">
        <f>IF(HLOOKUP("Mins",A1:CV300,40,FALSE)=0,0,HLOOKUP("BC",A1:CV300,40,FALSE)/HLOOKUP("Mins",A1:CV300,40,FALSE)* 90)</f>
      </c>
      <c r="BL40" s="18318">
        <f>IF(HLOOKUP("Mins",A1:CV300,40,FALSE)=0,0,HLOOKUP("BC Miss",A1:CV300,40,FALSE)/HLOOKUP("Mins",A1:CV300,40,FALSE)* 90)</f>
      </c>
      <c r="BM40" s="18319">
        <f>IF(HLOOKUP("Mins",A1:CV300,40,FALSE)=0,0,HLOOKUP("Gs - BC",A1:CV300,40,FALSE)/HLOOKUP("Mins",A1:CV300,40,FALSE)* 90)</f>
      </c>
      <c r="BN40" s="18320">
        <f>IF(HLOOKUP("Mins",A1:CV300,40,FALSE)=0,0,HLOOKUP("GIB",A1:CV300,40,FALSE)/HLOOKUP("Mins",A1:CV300,40,FALSE)* 90)</f>
      </c>
      <c r="BO40" s="18321">
        <f>IF(HLOOKUP("Mins",A1:CV300,40,FALSE)=0,0,HLOOKUP("Gs - Open",A1:CV300,40,FALSE)/HLOOKUP("Mins",A1:CV300,40,FALSE)* 90)</f>
      </c>
      <c r="BP40" s="18322">
        <f>IF(HLOOKUP("Mins",A1:CV300,40,FALSE)=0,0,HLOOKUP("ICT Index",A1:CV300,40,FALSE)/HLOOKUP("Mins",A1:CV300,40,FALSE)* 90)</f>
      </c>
      <c r="BQ40" s="18323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18324">
        <f>0.0885*HLOOKUP("KP/90",A1:CV300,40,FALSE)</f>
      </c>
      <c r="BS40" s="18325">
        <f>5*HLOOKUP("xG/90",A1:CV300,40,FALSE)+3*HLOOKUP("xA/90",A1:CV300,40,FALSE)</f>
      </c>
      <c r="BT40" s="18326">
        <f>HLOOKUP("xPts/90",A1:CV300,40,FALSE)-(5*0.75*(HLOOKUP("PK Gs",A1:CV300,40,FALSE)+HLOOKUP("PK Miss",A1:CV300,40,FALSE))*90/HLOOKUP("Mins",A1:CV300,40,FALSE))</f>
      </c>
      <c r="BU40" s="18327">
        <f>IF(HLOOKUP("Mins",A1:CV300,40,FALSE)=0,0,HLOOKUP("fsXG",A1:CV300,40,FALSE)/HLOOKUP("Mins",A1:CV300,40,FALSE)* 90)</f>
      </c>
      <c r="BV40" s="18328">
        <f>IF(HLOOKUP("Mins",A1:CV300,40,FALSE)=0,0,HLOOKUP("fsXA",A1:CV300,40,FALSE)/HLOOKUP("Mins",A1:CV300,40,FALSE)* 90)</f>
      </c>
      <c r="BW40" s="18329">
        <f>5*HLOOKUP("fsXG/90",A1:CV300,40,FALSE)+3*HLOOKUP("fsXA/90",A1:CV300,40,FALSE)</f>
      </c>
      <c r="BX40" t="n" s="18330">
        <v>0.20590069890022278</v>
      </c>
      <c r="BY40" t="n" s="18331">
        <v>0.0</v>
      </c>
      <c r="BZ40" s="18332">
        <f>5*HLOOKUP("uXG/90",A1:CV300,40,FALSE)+3*HLOOKUP("uXA/90",A1:CV300,40,FALSE)</f>
      </c>
    </row>
    <row r="41">
      <c r="A41" t="s" s="18333">
        <v>332</v>
      </c>
      <c r="B41" t="s" s="18334">
        <v>112</v>
      </c>
      <c r="C41" t="n" s="18335">
        <v>6.0</v>
      </c>
      <c r="D41" t="n" s="18336">
        <v>334.0</v>
      </c>
      <c r="E41" t="n" s="18337">
        <v>5.0</v>
      </c>
      <c r="F41" t="n" s="18338">
        <v>51.0</v>
      </c>
      <c r="G41" t="n" s="18339">
        <v>1.0</v>
      </c>
      <c r="H41" t="n" s="18340">
        <v>3.0</v>
      </c>
      <c r="I41" t="n" s="18341">
        <v>177.0</v>
      </c>
      <c r="J41" s="18342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18343">
        <v>0.0</v>
      </c>
      <c r="L41" t="n" s="18344">
        <v>4.0</v>
      </c>
      <c r="M41" t="n" s="18345">
        <v>10.0</v>
      </c>
      <c r="N41" t="n" s="18346">
        <v>7.0</v>
      </c>
      <c r="O41" t="n" s="18347">
        <v>6.0</v>
      </c>
      <c r="P41" s="18348">
        <f>IF(HLOOKUP("Shots",A1:CV300,41,FALSE)=0,0,HLOOKUP("SIB",A1:CV300,41,FALSE)/HLOOKUP("Shots",A1:CV300,41,FALSE))</f>
      </c>
      <c r="Q41" t="n" s="18349">
        <v>0.0</v>
      </c>
      <c r="R41" s="18350">
        <f>IF(HLOOKUP("Shots",A1:CV300,41,FALSE)=0,0,HLOOKUP("S6YD",A1:CV300,41,FALSE)/HLOOKUP("Shots",A1:CV300,41,FALSE))</f>
      </c>
      <c r="S41" t="n" s="18351">
        <v>0.0</v>
      </c>
      <c r="T41" s="18352">
        <f>IF(HLOOKUP("Shots",A1:CV300,41,FALSE)=0,0,HLOOKUP("Headers",A1:CV300,41,FALSE)/HLOOKUP("Shots",A1:CV300,41,FALSE))</f>
      </c>
      <c r="U41" t="n" s="18353">
        <v>3.0</v>
      </c>
      <c r="V41" s="18354">
        <f>IF(HLOOKUP("Shots",A1:CV300,41,FALSE)=0,0,HLOOKUP("SOT",A1:CV300,41,FALSE)/HLOOKUP("Shots",A1:CV300,41,FALSE))</f>
      </c>
      <c r="W41" s="18355">
        <f>IF(HLOOKUP("Shots",A1:CV300,41,FALSE)=0,0,HLOOKUP("Gs",A1:CV300,41,FALSE)/HLOOKUP("Shots",A1:CV300,41,FALSE))</f>
      </c>
      <c r="X41" t="n" s="18356">
        <v>1.0</v>
      </c>
      <c r="Y41" t="n" s="18357">
        <v>3.0</v>
      </c>
      <c r="Z41" t="n" s="18358">
        <v>4.0</v>
      </c>
      <c r="AA41" s="18359">
        <f>IF(HLOOKUP("KP",A1:CV300,41,FALSE)=0,0,HLOOKUP("As",A1:CV300,41,FALSE)/HLOOKUP("KP",A1:CV300,41,FALSE))</f>
      </c>
      <c r="AB41" s="18360"/>
      <c r="AC41" t="n" s="18361">
        <v>29.0</v>
      </c>
      <c r="AD41" t="n" s="18362">
        <v>0.0</v>
      </c>
      <c r="AE41" t="n" s="18363">
        <v>0.0</v>
      </c>
      <c r="AF41" t="n" s="18364">
        <v>0.0</v>
      </c>
      <c r="AG41" s="18365">
        <f>IF(HLOOKUP("BC",A1:CV300,41,FALSE)=0,0,HLOOKUP("Gs - BC",A1:CV300,41,FALSE)/HLOOKUP("BC",A1:CV300,41,FALSE))</f>
      </c>
      <c r="AH41" s="18366">
        <f>HLOOKUP("BC",A1:CV300,41,FALSE) - HLOOKUP("BC Miss",A1:CV300,41,FALSE)</f>
      </c>
      <c r="AI41" s="18367">
        <f>IF(HLOOKUP("Gs",A1:CV300,41,FALSE)=0,0,HLOOKUP("Gs - BC",A1:CV300,41,FALSE)/HLOOKUP("Gs",A1:CV300,41,FALSE))</f>
      </c>
      <c r="AJ41" t="n" s="18368">
        <v>0.0</v>
      </c>
      <c r="AK41" t="n" s="18369">
        <v>0.0</v>
      </c>
      <c r="AL41" s="18370">
        <f>HLOOKUP("BC",A1:CV300,41,FALSE) - (HLOOKUP("PK Gs",A1:CV300,41,FALSE) + HLOOKUP("PK Miss",A1:CV300,41,FALSE))</f>
      </c>
      <c r="AM41" s="18371">
        <f>HLOOKUP("BC Miss",A1:CV300,41,FALSE) - HLOOKUP("PK Miss",A1:CV300,41,FALSE)</f>
      </c>
      <c r="AN41" s="18372">
        <f>IF(HLOOKUP("BC - Open",A1:CV300,41,FALSE)=0,0,HLOOKUP("BC - Open Miss",A1:CV300,41,FALSE)/HLOOKUP("BC - Open",A1:CV300,41,FALSE))</f>
      </c>
      <c r="AO41" t="n" s="18373">
        <v>1.0</v>
      </c>
      <c r="AP41" s="18374">
        <f>IF(HLOOKUP("Gs",A1:CV300,41,FALSE)=0,0,HLOOKUP("GIB",A1:CV300,41,FALSE)/HLOOKUP("Gs",A1:CV300,41,FALSE))</f>
      </c>
      <c r="AQ41" t="n" s="18375">
        <v>1.0</v>
      </c>
      <c r="AR41" s="18376">
        <f>IF(HLOOKUP("Gs",A1:CV300,41,FALSE)=0,0,HLOOKUP("Gs - Open",A1:CV300,41,FALSE)/HLOOKUP("Gs",A1:CV300,41,FALSE))</f>
      </c>
      <c r="AS41" t="n" s="18377">
        <v>0.46</v>
      </c>
      <c r="AT41" t="n" s="18378">
        <v>0.35</v>
      </c>
      <c r="AU41" s="18379">
        <f>IF(HLOOKUP("Mins",A1:CV300,41,FALSE)=0,0,HLOOKUP("Pts",A1:CV300,41,FALSE)/HLOOKUP("Mins",A1:CV300,41,FALSE)* 90)</f>
      </c>
      <c r="AV41" s="18380">
        <f>IF(HLOOKUP("Apps",A1:CV300,41,FALSE)=0,0,HLOOKUP("Pts",A1:CV300,41,FALSE)/HLOOKUP("Apps",A1:CV300,41,FALSE)* 1)</f>
      </c>
      <c r="AW41" s="18381">
        <f>IF(HLOOKUP("Mins",A1:CV300,41,FALSE)=0,0,HLOOKUP("Gs",A1:CV300,41,FALSE)/HLOOKUP("Mins",A1:CV300,41,FALSE)* 90)</f>
      </c>
      <c r="AX41" s="18382">
        <f>IF(HLOOKUP("Mins",A1:CV300,41,FALSE)=0,0,HLOOKUP("Bonus",A1:CV300,41,FALSE)/HLOOKUP("Mins",A1:CV300,41,FALSE)* 90)</f>
      </c>
      <c r="AY41" s="18383">
        <f>IF(HLOOKUP("Mins",A1:CV300,41,FALSE)=0,0,HLOOKUP("BPS",A1:CV300,41,FALSE)/HLOOKUP("Mins",A1:CV300,41,FALSE)* 90)</f>
      </c>
      <c r="AZ41" s="18384">
        <f>IF(HLOOKUP("Mins",A1:CV300,41,FALSE)=0,0,HLOOKUP("Base BPS",A1:CV300,41,FALSE)/HLOOKUP("Mins",A1:CV300,41,FALSE)* 90)</f>
      </c>
      <c r="BA41" s="18385">
        <f>IF(HLOOKUP("Mins",A1:CV300,41,FALSE)=0,0,HLOOKUP("PenTchs",A1:CV300,41,FALSE)/HLOOKUP("Mins",A1:CV300,41,FALSE)* 90)</f>
      </c>
      <c r="BB41" s="18386">
        <f>IF(HLOOKUP("Mins",A1:CV300,41,FALSE)=0,0,HLOOKUP("Shots",A1:CV300,41,FALSE)/HLOOKUP("Mins",A1:CV300,41,FALSE)* 90)</f>
      </c>
      <c r="BC41" s="18387">
        <f>IF(HLOOKUP("Mins",A1:CV300,41,FALSE)=0,0,HLOOKUP("SIB",A1:CV300,41,FALSE)/HLOOKUP("Mins",A1:CV300,41,FALSE)* 90)</f>
      </c>
      <c r="BD41" s="18388">
        <f>IF(HLOOKUP("Mins",A1:CV300,41,FALSE)=0,0,HLOOKUP("S6YD",A1:CV300,41,FALSE)/HLOOKUP("Mins",A1:CV300,41,FALSE)* 90)</f>
      </c>
      <c r="BE41" s="18389">
        <f>IF(HLOOKUP("Mins",A1:CV300,41,FALSE)=0,0,HLOOKUP("Headers",A1:CV300,41,FALSE)/HLOOKUP("Mins",A1:CV300,41,FALSE)* 90)</f>
      </c>
      <c r="BF41" s="18390">
        <f>IF(HLOOKUP("Mins",A1:CV300,41,FALSE)=0,0,HLOOKUP("SOT",A1:CV300,41,FALSE)/HLOOKUP("Mins",A1:CV300,41,FALSE)* 90)</f>
      </c>
      <c r="BG41" s="18391">
        <f>IF(HLOOKUP("Mins",A1:CV300,41,FALSE)=0,0,HLOOKUP("As",A1:CV300,41,FALSE)/HLOOKUP("Mins",A1:CV300,41,FALSE)* 90)</f>
      </c>
      <c r="BH41" s="18392">
        <f>IF(HLOOKUP("Mins",A1:CV300,41,FALSE)=0,0,HLOOKUP("FPL As",A1:CV300,41,FALSE)/HLOOKUP("Mins",A1:CV300,41,FALSE)* 90)</f>
      </c>
      <c r="BI41" s="18393">
        <f>IF(HLOOKUP("Mins",A1:CV300,41,FALSE)=0,0,HLOOKUP("BC Created",A1:CV300,41,FALSE)/HLOOKUP("Mins",A1:CV300,41,FALSE)* 90)</f>
      </c>
      <c r="BJ41" s="18394">
        <f>IF(HLOOKUP("Mins",A1:CV300,41,FALSE)=0,0,HLOOKUP("KP",A1:CV300,41,FALSE)/HLOOKUP("Mins",A1:CV300,41,FALSE)* 90)</f>
      </c>
      <c r="BK41" s="18395">
        <f>IF(HLOOKUP("Mins",A1:CV300,41,FALSE)=0,0,HLOOKUP("BC",A1:CV300,41,FALSE)/HLOOKUP("Mins",A1:CV300,41,FALSE)* 90)</f>
      </c>
      <c r="BL41" s="18396">
        <f>IF(HLOOKUP("Mins",A1:CV300,41,FALSE)=0,0,HLOOKUP("BC Miss",A1:CV300,41,FALSE)/HLOOKUP("Mins",A1:CV300,41,FALSE)* 90)</f>
      </c>
      <c r="BM41" s="18397">
        <f>IF(HLOOKUP("Mins",A1:CV300,41,FALSE)=0,0,HLOOKUP("Gs - BC",A1:CV300,41,FALSE)/HLOOKUP("Mins",A1:CV300,41,FALSE)* 90)</f>
      </c>
      <c r="BN41" s="18398">
        <f>IF(HLOOKUP("Mins",A1:CV300,41,FALSE)=0,0,HLOOKUP("GIB",A1:CV300,41,FALSE)/HLOOKUP("Mins",A1:CV300,41,FALSE)* 90)</f>
      </c>
      <c r="BO41" s="18399">
        <f>IF(HLOOKUP("Mins",A1:CV300,41,FALSE)=0,0,HLOOKUP("Gs - Open",A1:CV300,41,FALSE)/HLOOKUP("Mins",A1:CV300,41,FALSE)* 90)</f>
      </c>
      <c r="BP41" s="18400">
        <f>IF(HLOOKUP("Mins",A1:CV300,41,FALSE)=0,0,HLOOKUP("ICT Index",A1:CV300,41,FALSE)/HLOOKUP("Mins",A1:CV300,41,FALSE)* 90)</f>
      </c>
      <c r="BQ41" s="18401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18402">
        <f>0.0885*HLOOKUP("KP/90",A1:CV300,41,FALSE)</f>
      </c>
      <c r="BS41" s="18403">
        <f>5*HLOOKUP("xG/90",A1:CV300,41,FALSE)+3*HLOOKUP("xA/90",A1:CV300,41,FALSE)</f>
      </c>
      <c r="BT41" s="18404">
        <f>HLOOKUP("xPts/90",A1:CV300,41,FALSE)-(5*0.75*(HLOOKUP("PK Gs",A1:CV300,41,FALSE)+HLOOKUP("PK Miss",A1:CV300,41,FALSE))*90/HLOOKUP("Mins",A1:CV300,41,FALSE))</f>
      </c>
      <c r="BU41" s="18405">
        <f>IF(HLOOKUP("Mins",A1:CV300,41,FALSE)=0,0,HLOOKUP("fsXG",A1:CV300,41,FALSE)/HLOOKUP("Mins",A1:CV300,41,FALSE)* 90)</f>
      </c>
      <c r="BV41" s="18406">
        <f>IF(HLOOKUP("Mins",A1:CV300,41,FALSE)=0,0,HLOOKUP("fsXA",A1:CV300,41,FALSE)/HLOOKUP("Mins",A1:CV300,41,FALSE)* 90)</f>
      </c>
      <c r="BW41" s="18407">
        <f>5*HLOOKUP("fsXG/90",A1:CV300,41,FALSE)+3*HLOOKUP("fsXA/90",A1:CV300,41,FALSE)</f>
      </c>
      <c r="BX41" t="n" s="18408">
        <v>0.15322552621364594</v>
      </c>
      <c r="BY41" t="n" s="18409">
        <v>0.0666256695985794</v>
      </c>
      <c r="BZ41" s="18410">
        <f>5*HLOOKUP("uXG/90",A1:CV300,41,FALSE)+3*HLOOKUP("uXA/90",A1:CV300,41,FALSE)</f>
      </c>
    </row>
    <row r="42">
      <c r="A42" t="s" s="18411">
        <v>333</v>
      </c>
      <c r="B42" t="s" s="18412">
        <v>85</v>
      </c>
      <c r="C42" t="n" s="18413">
        <v>4.900000095367432</v>
      </c>
      <c r="D42" t="n" s="18414">
        <v>450.0</v>
      </c>
      <c r="E42" t="n" s="18415">
        <v>5.0</v>
      </c>
      <c r="F42" t="n" s="18416">
        <v>74.0</v>
      </c>
      <c r="G42" t="n" s="18417">
        <v>2.0</v>
      </c>
      <c r="H42" t="n" s="18418">
        <v>10.0</v>
      </c>
      <c r="I42" t="n" s="18419">
        <v>340.0</v>
      </c>
      <c r="J42" s="18420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18421">
        <v>0.0</v>
      </c>
      <c r="L42" t="n" s="18422">
        <v>6.0</v>
      </c>
      <c r="M42" t="n" s="18423">
        <v>7.0</v>
      </c>
      <c r="N42" t="n" s="18424">
        <v>7.0</v>
      </c>
      <c r="O42" t="n" s="18425">
        <v>3.0</v>
      </c>
      <c r="P42" s="18426">
        <f>IF(HLOOKUP("Shots",A1:CV300,42,FALSE)=0,0,HLOOKUP("SIB",A1:CV300,42,FALSE)/HLOOKUP("Shots",A1:CV300,42,FALSE))</f>
      </c>
      <c r="Q42" t="n" s="18427">
        <v>1.0</v>
      </c>
      <c r="R42" s="18428">
        <f>IF(HLOOKUP("Shots",A1:CV300,42,FALSE)=0,0,HLOOKUP("S6YD",A1:CV300,42,FALSE)/HLOOKUP("Shots",A1:CV300,42,FALSE))</f>
      </c>
      <c r="S42" t="n" s="18429">
        <v>0.0</v>
      </c>
      <c r="T42" s="18430">
        <f>IF(HLOOKUP("Shots",A1:CV300,42,FALSE)=0,0,HLOOKUP("Headers",A1:CV300,42,FALSE)/HLOOKUP("Shots",A1:CV300,42,FALSE))</f>
      </c>
      <c r="U42" t="n" s="18431">
        <v>3.0</v>
      </c>
      <c r="V42" s="18432">
        <f>IF(HLOOKUP("Shots",A1:CV300,42,FALSE)=0,0,HLOOKUP("SOT",A1:CV300,42,FALSE)/HLOOKUP("Shots",A1:CV300,42,FALSE))</f>
      </c>
      <c r="W42" s="18433">
        <f>IF(HLOOKUP("Shots",A1:CV300,42,FALSE)=0,0,HLOOKUP("Gs",A1:CV300,42,FALSE)/HLOOKUP("Shots",A1:CV300,42,FALSE))</f>
      </c>
      <c r="X42" t="n" s="18434">
        <v>1.0</v>
      </c>
      <c r="Y42" t="n" s="18435">
        <v>2.0</v>
      </c>
      <c r="Z42" t="n" s="18436">
        <v>4.0</v>
      </c>
      <c r="AA42" s="18437">
        <f>IF(HLOOKUP("KP",A1:CV300,42,FALSE)=0,0,HLOOKUP("As",A1:CV300,42,FALSE)/HLOOKUP("KP",A1:CV300,42,FALSE))</f>
      </c>
      <c r="AB42" s="18438"/>
      <c r="AC42" t="n" s="18439">
        <v>75.0</v>
      </c>
      <c r="AD42" t="n" s="18440">
        <v>2.0</v>
      </c>
      <c r="AE42" t="n" s="18441">
        <v>3.0</v>
      </c>
      <c r="AF42" t="n" s="18442">
        <v>1.0</v>
      </c>
      <c r="AG42" s="18443">
        <f>IF(HLOOKUP("BC",A1:CV300,42,FALSE)=0,0,HLOOKUP("Gs - BC",A1:CV300,42,FALSE)/HLOOKUP("BC",A1:CV300,42,FALSE))</f>
      </c>
      <c r="AH42" s="18444">
        <f>HLOOKUP("BC",A1:CV300,42,FALSE) - HLOOKUP("BC Miss",A1:CV300,42,FALSE)</f>
      </c>
      <c r="AI42" s="18445">
        <f>IF(HLOOKUP("Gs",A1:CV300,42,FALSE)=0,0,HLOOKUP("Gs - BC",A1:CV300,42,FALSE)/HLOOKUP("Gs",A1:CV300,42,FALSE))</f>
      </c>
      <c r="AJ42" t="n" s="18446">
        <v>0.0</v>
      </c>
      <c r="AK42" t="n" s="18447">
        <v>0.0</v>
      </c>
      <c r="AL42" s="18448">
        <f>HLOOKUP("BC",A1:CV300,42,FALSE) - (HLOOKUP("PK Gs",A1:CV300,42,FALSE) + HLOOKUP("PK Miss",A1:CV300,42,FALSE))</f>
      </c>
      <c r="AM42" s="18449">
        <f>HLOOKUP("BC Miss",A1:CV300,42,FALSE) - HLOOKUP("PK Miss",A1:CV300,42,FALSE)</f>
      </c>
      <c r="AN42" s="18450">
        <f>IF(HLOOKUP("BC - Open",A1:CV300,42,FALSE)=0,0,HLOOKUP("BC - Open Miss",A1:CV300,42,FALSE)/HLOOKUP("BC - Open",A1:CV300,42,FALSE))</f>
      </c>
      <c r="AO42" t="n" s="18451">
        <v>2.0</v>
      </c>
      <c r="AP42" s="18452">
        <f>IF(HLOOKUP("Gs",A1:CV300,42,FALSE)=0,0,HLOOKUP("GIB",A1:CV300,42,FALSE)/HLOOKUP("Gs",A1:CV300,42,FALSE))</f>
      </c>
      <c r="AQ42" t="n" s="18453">
        <v>2.0</v>
      </c>
      <c r="AR42" s="18454">
        <f>IF(HLOOKUP("Gs",A1:CV300,42,FALSE)=0,0,HLOOKUP("Gs - Open",A1:CV300,42,FALSE)/HLOOKUP("Gs",A1:CV300,42,FALSE))</f>
      </c>
      <c r="AS42" t="n" s="18455">
        <v>1.29</v>
      </c>
      <c r="AT42" t="n" s="18456">
        <v>0.5</v>
      </c>
      <c r="AU42" s="18457">
        <f>IF(HLOOKUP("Mins",A1:CV300,42,FALSE)=0,0,HLOOKUP("Pts",A1:CV300,42,FALSE)/HLOOKUP("Mins",A1:CV300,42,FALSE)* 90)</f>
      </c>
      <c r="AV42" s="18458">
        <f>IF(HLOOKUP("Apps",A1:CV300,42,FALSE)=0,0,HLOOKUP("Pts",A1:CV300,42,FALSE)/HLOOKUP("Apps",A1:CV300,42,FALSE)* 1)</f>
      </c>
      <c r="AW42" s="18459">
        <f>IF(HLOOKUP("Mins",A1:CV300,42,FALSE)=0,0,HLOOKUP("Gs",A1:CV300,42,FALSE)/HLOOKUP("Mins",A1:CV300,42,FALSE)* 90)</f>
      </c>
      <c r="AX42" s="18460">
        <f>IF(HLOOKUP("Mins",A1:CV300,42,FALSE)=0,0,HLOOKUP("Bonus",A1:CV300,42,FALSE)/HLOOKUP("Mins",A1:CV300,42,FALSE)* 90)</f>
      </c>
      <c r="AY42" s="18461">
        <f>IF(HLOOKUP("Mins",A1:CV300,42,FALSE)=0,0,HLOOKUP("BPS",A1:CV300,42,FALSE)/HLOOKUP("Mins",A1:CV300,42,FALSE)* 90)</f>
      </c>
      <c r="AZ42" s="18462">
        <f>IF(HLOOKUP("Mins",A1:CV300,42,FALSE)=0,0,HLOOKUP("Base BPS",A1:CV300,42,FALSE)/HLOOKUP("Mins",A1:CV300,42,FALSE)* 90)</f>
      </c>
      <c r="BA42" s="18463">
        <f>IF(HLOOKUP("Mins",A1:CV300,42,FALSE)=0,0,HLOOKUP("PenTchs",A1:CV300,42,FALSE)/HLOOKUP("Mins",A1:CV300,42,FALSE)* 90)</f>
      </c>
      <c r="BB42" s="18464">
        <f>IF(HLOOKUP("Mins",A1:CV300,42,FALSE)=0,0,HLOOKUP("Shots",A1:CV300,42,FALSE)/HLOOKUP("Mins",A1:CV300,42,FALSE)* 90)</f>
      </c>
      <c r="BC42" s="18465">
        <f>IF(HLOOKUP("Mins",A1:CV300,42,FALSE)=0,0,HLOOKUP("SIB",A1:CV300,42,FALSE)/HLOOKUP("Mins",A1:CV300,42,FALSE)* 90)</f>
      </c>
      <c r="BD42" s="18466">
        <f>IF(HLOOKUP("Mins",A1:CV300,42,FALSE)=0,0,HLOOKUP("S6YD",A1:CV300,42,FALSE)/HLOOKUP("Mins",A1:CV300,42,FALSE)* 90)</f>
      </c>
      <c r="BE42" s="18467">
        <f>IF(HLOOKUP("Mins",A1:CV300,42,FALSE)=0,0,HLOOKUP("Headers",A1:CV300,42,FALSE)/HLOOKUP("Mins",A1:CV300,42,FALSE)* 90)</f>
      </c>
      <c r="BF42" s="18468">
        <f>IF(HLOOKUP("Mins",A1:CV300,42,FALSE)=0,0,HLOOKUP("SOT",A1:CV300,42,FALSE)/HLOOKUP("Mins",A1:CV300,42,FALSE)* 90)</f>
      </c>
      <c r="BG42" s="18469">
        <f>IF(HLOOKUP("Mins",A1:CV300,42,FALSE)=0,0,HLOOKUP("As",A1:CV300,42,FALSE)/HLOOKUP("Mins",A1:CV300,42,FALSE)* 90)</f>
      </c>
      <c r="BH42" s="18470">
        <f>IF(HLOOKUP("Mins",A1:CV300,42,FALSE)=0,0,HLOOKUP("FPL As",A1:CV300,42,FALSE)/HLOOKUP("Mins",A1:CV300,42,FALSE)* 90)</f>
      </c>
      <c r="BI42" s="18471">
        <f>IF(HLOOKUP("Mins",A1:CV300,42,FALSE)=0,0,HLOOKUP("BC Created",A1:CV300,42,FALSE)/HLOOKUP("Mins",A1:CV300,42,FALSE)* 90)</f>
      </c>
      <c r="BJ42" s="18472">
        <f>IF(HLOOKUP("Mins",A1:CV300,42,FALSE)=0,0,HLOOKUP("KP",A1:CV300,42,FALSE)/HLOOKUP("Mins",A1:CV300,42,FALSE)* 90)</f>
      </c>
      <c r="BK42" s="18473">
        <f>IF(HLOOKUP("Mins",A1:CV300,42,FALSE)=0,0,HLOOKUP("BC",A1:CV300,42,FALSE)/HLOOKUP("Mins",A1:CV300,42,FALSE)* 90)</f>
      </c>
      <c r="BL42" s="18474">
        <f>IF(HLOOKUP("Mins",A1:CV300,42,FALSE)=0,0,HLOOKUP("BC Miss",A1:CV300,42,FALSE)/HLOOKUP("Mins",A1:CV300,42,FALSE)* 90)</f>
      </c>
      <c r="BM42" s="18475">
        <f>IF(HLOOKUP("Mins",A1:CV300,42,FALSE)=0,0,HLOOKUP("Gs - BC",A1:CV300,42,FALSE)/HLOOKUP("Mins",A1:CV300,42,FALSE)* 90)</f>
      </c>
      <c r="BN42" s="18476">
        <f>IF(HLOOKUP("Mins",A1:CV300,42,FALSE)=0,0,HLOOKUP("GIB",A1:CV300,42,FALSE)/HLOOKUP("Mins",A1:CV300,42,FALSE)* 90)</f>
      </c>
      <c r="BO42" s="18477">
        <f>IF(HLOOKUP("Mins",A1:CV300,42,FALSE)=0,0,HLOOKUP("Gs - Open",A1:CV300,42,FALSE)/HLOOKUP("Mins",A1:CV300,42,FALSE)* 90)</f>
      </c>
      <c r="BP42" s="18478">
        <f>IF(HLOOKUP("Mins",A1:CV300,42,FALSE)=0,0,HLOOKUP("ICT Index",A1:CV300,42,FALSE)/HLOOKUP("Mins",A1:CV300,42,FALSE)* 90)</f>
      </c>
      <c r="BQ42" s="18479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18480">
        <f>0.0885*HLOOKUP("KP/90",A1:CV300,42,FALSE)</f>
      </c>
      <c r="BS42" s="18481">
        <f>5*HLOOKUP("xG/90",A1:CV300,42,FALSE)+3*HLOOKUP("xA/90",A1:CV300,42,FALSE)</f>
      </c>
      <c r="BT42" s="18482">
        <f>HLOOKUP("xPts/90",A1:CV300,42,FALSE)-(5*0.75*(HLOOKUP("PK Gs",A1:CV300,42,FALSE)+HLOOKUP("PK Miss",A1:CV300,42,FALSE))*90/HLOOKUP("Mins",A1:CV300,42,FALSE))</f>
      </c>
      <c r="BU42" s="18483">
        <f>IF(HLOOKUP("Mins",A1:CV300,42,FALSE)=0,0,HLOOKUP("fsXG",A1:CV300,42,FALSE)/HLOOKUP("Mins",A1:CV300,42,FALSE)* 90)</f>
      </c>
      <c r="BV42" s="18484">
        <f>IF(HLOOKUP("Mins",A1:CV300,42,FALSE)=0,0,HLOOKUP("fsXA",A1:CV300,42,FALSE)/HLOOKUP("Mins",A1:CV300,42,FALSE)* 90)</f>
      </c>
      <c r="BW42" s="18485">
        <f>5*HLOOKUP("fsXG/90",A1:CV300,42,FALSE)+3*HLOOKUP("fsXA/90",A1:CV300,42,FALSE)</f>
      </c>
      <c r="BX42" t="n" s="18486">
        <v>0.2629779279232025</v>
      </c>
      <c r="BY42" t="n" s="18487">
        <v>0.1644098311662674</v>
      </c>
      <c r="BZ42" s="18488">
        <f>5*HLOOKUP("uXG/90",A1:CV300,42,FALSE)+3*HLOOKUP("uXA/90",A1:CV300,42,FALSE)</f>
      </c>
    </row>
    <row r="43">
      <c r="A43" t="s" s="18489">
        <v>334</v>
      </c>
      <c r="B43" t="s" s="18490">
        <v>112</v>
      </c>
      <c r="C43" t="n" s="18491">
        <v>5.0</v>
      </c>
      <c r="D43" t="n" s="18492">
        <v>358.0</v>
      </c>
      <c r="E43" t="n" s="18493">
        <v>4.0</v>
      </c>
      <c r="F43" t="n" s="18494">
        <v>64.0</v>
      </c>
      <c r="G43" t="n" s="18495">
        <v>2.0</v>
      </c>
      <c r="H43" t="n" s="18496">
        <v>5.0</v>
      </c>
      <c r="I43" t="n" s="18497">
        <v>266.0</v>
      </c>
      <c r="J43" s="18498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18499">
        <v>0.0</v>
      </c>
      <c r="L43" t="n" s="18500">
        <v>6.0</v>
      </c>
      <c r="M43" t="n" s="18501">
        <v>3.0</v>
      </c>
      <c r="N43" t="n" s="18502">
        <v>3.0</v>
      </c>
      <c r="O43" t="n" s="18503">
        <v>1.0</v>
      </c>
      <c r="P43" s="18504">
        <f>IF(HLOOKUP("Shots",A1:CV300,43,FALSE)=0,0,HLOOKUP("SIB",A1:CV300,43,FALSE)/HLOOKUP("Shots",A1:CV300,43,FALSE))</f>
      </c>
      <c r="Q43" t="n" s="18505">
        <v>0.0</v>
      </c>
      <c r="R43" s="18506">
        <f>IF(HLOOKUP("Shots",A1:CV300,43,FALSE)=0,0,HLOOKUP("S6YD",A1:CV300,43,FALSE)/HLOOKUP("Shots",A1:CV300,43,FALSE))</f>
      </c>
      <c r="S43" t="n" s="18507">
        <v>0.0</v>
      </c>
      <c r="T43" s="18508">
        <f>IF(HLOOKUP("Shots",A1:CV300,43,FALSE)=0,0,HLOOKUP("Headers",A1:CV300,43,FALSE)/HLOOKUP("Shots",A1:CV300,43,FALSE))</f>
      </c>
      <c r="U43" t="n" s="18509">
        <v>2.0</v>
      </c>
      <c r="V43" s="18510">
        <f>IF(HLOOKUP("Shots",A1:CV300,43,FALSE)=0,0,HLOOKUP("SOT",A1:CV300,43,FALSE)/HLOOKUP("Shots",A1:CV300,43,FALSE))</f>
      </c>
      <c r="W43" s="18511">
        <f>IF(HLOOKUP("Shots",A1:CV300,43,FALSE)=0,0,HLOOKUP("Gs",A1:CV300,43,FALSE)/HLOOKUP("Shots",A1:CV300,43,FALSE))</f>
      </c>
      <c r="X43" t="n" s="18512">
        <v>0.0</v>
      </c>
      <c r="Y43" t="n" s="18513">
        <v>2.0</v>
      </c>
      <c r="Z43" t="n" s="18514">
        <v>2.0</v>
      </c>
      <c r="AA43" s="18515">
        <f>IF(HLOOKUP("KP",A1:CV300,43,FALSE)=0,0,HLOOKUP("As",A1:CV300,43,FALSE)/HLOOKUP("KP",A1:CV300,43,FALSE))</f>
      </c>
      <c r="AB43" s="18516"/>
      <c r="AC43" t="n" s="18517">
        <v>33.0</v>
      </c>
      <c r="AD43" t="n" s="18518">
        <v>0.0</v>
      </c>
      <c r="AE43" t="n" s="18519">
        <v>1.0</v>
      </c>
      <c r="AF43" t="n" s="18520">
        <v>0.0</v>
      </c>
      <c r="AG43" s="18521">
        <f>IF(HLOOKUP("BC",A1:CV300,43,FALSE)=0,0,HLOOKUP("Gs - BC",A1:CV300,43,FALSE)/HLOOKUP("BC",A1:CV300,43,FALSE))</f>
      </c>
      <c r="AH43" s="18522">
        <f>HLOOKUP("BC",A1:CV300,43,FALSE) - HLOOKUP("BC Miss",A1:CV300,43,FALSE)</f>
      </c>
      <c r="AI43" s="18523">
        <f>IF(HLOOKUP("Gs",A1:CV300,43,FALSE)=0,0,HLOOKUP("Gs - BC",A1:CV300,43,FALSE)/HLOOKUP("Gs",A1:CV300,43,FALSE))</f>
      </c>
      <c r="AJ43" t="n" s="18524">
        <v>1.0</v>
      </c>
      <c r="AK43" t="n" s="18525">
        <v>0.0</v>
      </c>
      <c r="AL43" s="18526">
        <f>HLOOKUP("BC",A1:CV300,43,FALSE) - (HLOOKUP("PK Gs",A1:CV300,43,FALSE) + HLOOKUP("PK Miss",A1:CV300,43,FALSE))</f>
      </c>
      <c r="AM43" s="18527">
        <f>HLOOKUP("BC Miss",A1:CV300,43,FALSE) - HLOOKUP("PK Miss",A1:CV300,43,FALSE)</f>
      </c>
      <c r="AN43" s="18528">
        <f>IF(HLOOKUP("BC - Open",A1:CV300,43,FALSE)=0,0,HLOOKUP("BC - Open Miss",A1:CV300,43,FALSE)/HLOOKUP("BC - Open",A1:CV300,43,FALSE))</f>
      </c>
      <c r="AO43" t="n" s="18529">
        <v>1.0</v>
      </c>
      <c r="AP43" s="18530">
        <f>IF(HLOOKUP("Gs",A1:CV300,43,FALSE)=0,0,HLOOKUP("GIB",A1:CV300,43,FALSE)/HLOOKUP("Gs",A1:CV300,43,FALSE))</f>
      </c>
      <c r="AQ43" t="n" s="18531">
        <v>1.0</v>
      </c>
      <c r="AR43" s="18532">
        <f>IF(HLOOKUP("Gs",A1:CV300,43,FALSE)=0,0,HLOOKUP("Gs - Open",A1:CV300,43,FALSE)/HLOOKUP("Gs",A1:CV300,43,FALSE))</f>
      </c>
      <c r="AS43" t="n" s="18533">
        <v>0.9</v>
      </c>
      <c r="AT43" t="n" s="18534">
        <v>0.12</v>
      </c>
      <c r="AU43" s="18535">
        <f>IF(HLOOKUP("Mins",A1:CV300,43,FALSE)=0,0,HLOOKUP("Pts",A1:CV300,43,FALSE)/HLOOKUP("Mins",A1:CV300,43,FALSE)* 90)</f>
      </c>
      <c r="AV43" s="18536">
        <f>IF(HLOOKUP("Apps",A1:CV300,43,FALSE)=0,0,HLOOKUP("Pts",A1:CV300,43,FALSE)/HLOOKUP("Apps",A1:CV300,43,FALSE)* 1)</f>
      </c>
      <c r="AW43" s="18537">
        <f>IF(HLOOKUP("Mins",A1:CV300,43,FALSE)=0,0,HLOOKUP("Gs",A1:CV300,43,FALSE)/HLOOKUP("Mins",A1:CV300,43,FALSE)* 90)</f>
      </c>
      <c r="AX43" s="18538">
        <f>IF(HLOOKUP("Mins",A1:CV300,43,FALSE)=0,0,HLOOKUP("Bonus",A1:CV300,43,FALSE)/HLOOKUP("Mins",A1:CV300,43,FALSE)* 90)</f>
      </c>
      <c r="AY43" s="18539">
        <f>IF(HLOOKUP("Mins",A1:CV300,43,FALSE)=0,0,HLOOKUP("BPS",A1:CV300,43,FALSE)/HLOOKUP("Mins",A1:CV300,43,FALSE)* 90)</f>
      </c>
      <c r="AZ43" s="18540">
        <f>IF(HLOOKUP("Mins",A1:CV300,43,FALSE)=0,0,HLOOKUP("Base BPS",A1:CV300,43,FALSE)/HLOOKUP("Mins",A1:CV300,43,FALSE)* 90)</f>
      </c>
      <c r="BA43" s="18541">
        <f>IF(HLOOKUP("Mins",A1:CV300,43,FALSE)=0,0,HLOOKUP("PenTchs",A1:CV300,43,FALSE)/HLOOKUP("Mins",A1:CV300,43,FALSE)* 90)</f>
      </c>
      <c r="BB43" s="18542">
        <f>IF(HLOOKUP("Mins",A1:CV300,43,FALSE)=0,0,HLOOKUP("Shots",A1:CV300,43,FALSE)/HLOOKUP("Mins",A1:CV300,43,FALSE)* 90)</f>
      </c>
      <c r="BC43" s="18543">
        <f>IF(HLOOKUP("Mins",A1:CV300,43,FALSE)=0,0,HLOOKUP("SIB",A1:CV300,43,FALSE)/HLOOKUP("Mins",A1:CV300,43,FALSE)* 90)</f>
      </c>
      <c r="BD43" s="18544">
        <f>IF(HLOOKUP("Mins",A1:CV300,43,FALSE)=0,0,HLOOKUP("S6YD",A1:CV300,43,FALSE)/HLOOKUP("Mins",A1:CV300,43,FALSE)* 90)</f>
      </c>
      <c r="BE43" s="18545">
        <f>IF(HLOOKUP("Mins",A1:CV300,43,FALSE)=0,0,HLOOKUP("Headers",A1:CV300,43,FALSE)/HLOOKUP("Mins",A1:CV300,43,FALSE)* 90)</f>
      </c>
      <c r="BF43" s="18546">
        <f>IF(HLOOKUP("Mins",A1:CV300,43,FALSE)=0,0,HLOOKUP("SOT",A1:CV300,43,FALSE)/HLOOKUP("Mins",A1:CV300,43,FALSE)* 90)</f>
      </c>
      <c r="BG43" s="18547">
        <f>IF(HLOOKUP("Mins",A1:CV300,43,FALSE)=0,0,HLOOKUP("As",A1:CV300,43,FALSE)/HLOOKUP("Mins",A1:CV300,43,FALSE)* 90)</f>
      </c>
      <c r="BH43" s="18548">
        <f>IF(HLOOKUP("Mins",A1:CV300,43,FALSE)=0,0,HLOOKUP("FPL As",A1:CV300,43,FALSE)/HLOOKUP("Mins",A1:CV300,43,FALSE)* 90)</f>
      </c>
      <c r="BI43" s="18549">
        <f>IF(HLOOKUP("Mins",A1:CV300,43,FALSE)=0,0,HLOOKUP("BC Created",A1:CV300,43,FALSE)/HLOOKUP("Mins",A1:CV300,43,FALSE)* 90)</f>
      </c>
      <c r="BJ43" s="18550">
        <f>IF(HLOOKUP("Mins",A1:CV300,43,FALSE)=0,0,HLOOKUP("KP",A1:CV300,43,FALSE)/HLOOKUP("Mins",A1:CV300,43,FALSE)* 90)</f>
      </c>
      <c r="BK43" s="18551">
        <f>IF(HLOOKUP("Mins",A1:CV300,43,FALSE)=0,0,HLOOKUP("BC",A1:CV300,43,FALSE)/HLOOKUP("Mins",A1:CV300,43,FALSE)* 90)</f>
      </c>
      <c r="BL43" s="18552">
        <f>IF(HLOOKUP("Mins",A1:CV300,43,FALSE)=0,0,HLOOKUP("BC Miss",A1:CV300,43,FALSE)/HLOOKUP("Mins",A1:CV300,43,FALSE)* 90)</f>
      </c>
      <c r="BM43" s="18553">
        <f>IF(HLOOKUP("Mins",A1:CV300,43,FALSE)=0,0,HLOOKUP("Gs - BC",A1:CV300,43,FALSE)/HLOOKUP("Mins",A1:CV300,43,FALSE)* 90)</f>
      </c>
      <c r="BN43" s="18554">
        <f>IF(HLOOKUP("Mins",A1:CV300,43,FALSE)=0,0,HLOOKUP("GIB",A1:CV300,43,FALSE)/HLOOKUP("Mins",A1:CV300,43,FALSE)* 90)</f>
      </c>
      <c r="BO43" s="18555">
        <f>IF(HLOOKUP("Mins",A1:CV300,43,FALSE)=0,0,HLOOKUP("Gs - Open",A1:CV300,43,FALSE)/HLOOKUP("Mins",A1:CV300,43,FALSE)* 90)</f>
      </c>
      <c r="BP43" s="18556">
        <f>IF(HLOOKUP("Mins",A1:CV300,43,FALSE)=0,0,HLOOKUP("ICT Index",A1:CV300,43,FALSE)/HLOOKUP("Mins",A1:CV300,43,FALSE)* 90)</f>
      </c>
      <c r="BQ43" s="18557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18558">
        <f>0.0885*HLOOKUP("KP/90",A1:CV300,43,FALSE)</f>
      </c>
      <c r="BS43" s="18559">
        <f>5*HLOOKUP("xG/90",A1:CV300,43,FALSE)+3*HLOOKUP("xA/90",A1:CV300,43,FALSE)</f>
      </c>
      <c r="BT43" s="18560">
        <f>HLOOKUP("xPts/90",A1:CV300,43,FALSE)-(5*0.75*(HLOOKUP("PK Gs",A1:CV300,43,FALSE)+HLOOKUP("PK Miss",A1:CV300,43,FALSE))*90/HLOOKUP("Mins",A1:CV300,43,FALSE))</f>
      </c>
      <c r="BU43" s="18561">
        <f>IF(HLOOKUP("Mins",A1:CV300,43,FALSE)=0,0,HLOOKUP("fsXG",A1:CV300,43,FALSE)/HLOOKUP("Mins",A1:CV300,43,FALSE)* 90)</f>
      </c>
      <c r="BV43" s="18562">
        <f>IF(HLOOKUP("Mins",A1:CV300,43,FALSE)=0,0,HLOOKUP("fsXA",A1:CV300,43,FALSE)/HLOOKUP("Mins",A1:CV300,43,FALSE)* 90)</f>
      </c>
      <c r="BW43" s="18563">
        <f>5*HLOOKUP("fsXG/90",A1:CV300,43,FALSE)+3*HLOOKUP("fsXA/90",A1:CV300,43,FALSE)</f>
      </c>
      <c r="BX43" t="n" s="18564">
        <v>0.2098349928855896</v>
      </c>
      <c r="BY43" t="n" s="18565">
        <v>0.016023792326450348</v>
      </c>
      <c r="BZ43" s="18566">
        <f>5*HLOOKUP("uXG/90",A1:CV300,43,FALSE)+3*HLOOKUP("uXA/90",A1:CV300,43,FALSE)</f>
      </c>
    </row>
    <row r="44">
      <c r="A44" t="s" s="18567">
        <v>335</v>
      </c>
      <c r="B44" t="s" s="18568">
        <v>87</v>
      </c>
      <c r="C44" t="n" s="18569">
        <v>6.5</v>
      </c>
      <c r="D44" t="n" s="18570">
        <v>540.0</v>
      </c>
      <c r="E44" t="n" s="18571">
        <v>6.0</v>
      </c>
      <c r="F44" t="n" s="18572">
        <v>95.0</v>
      </c>
      <c r="G44" t="n" s="18573">
        <v>2.0</v>
      </c>
      <c r="H44" t="n" s="18574">
        <v>11.0</v>
      </c>
      <c r="I44" t="n" s="18575">
        <v>386.0</v>
      </c>
      <c r="J44" s="18576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18577">
        <v>0.0</v>
      </c>
      <c r="L44" t="n" s="18578">
        <v>4.0</v>
      </c>
      <c r="M44" t="n" s="18579">
        <v>27.0</v>
      </c>
      <c r="N44" t="n" s="18580">
        <v>14.0</v>
      </c>
      <c r="O44" t="n" s="18581">
        <v>8.0</v>
      </c>
      <c r="P44" s="18582">
        <f>IF(HLOOKUP("Shots",A1:CV300,44,FALSE)=0,0,HLOOKUP("SIB",A1:CV300,44,FALSE)/HLOOKUP("Shots",A1:CV300,44,FALSE))</f>
      </c>
      <c r="Q44" t="n" s="18583">
        <v>0.0</v>
      </c>
      <c r="R44" s="18584">
        <f>IF(HLOOKUP("Shots",A1:CV300,44,FALSE)=0,0,HLOOKUP("S6YD",A1:CV300,44,FALSE)/HLOOKUP("Shots",A1:CV300,44,FALSE))</f>
      </c>
      <c r="S44" t="n" s="18585">
        <v>3.0</v>
      </c>
      <c r="T44" s="18586">
        <f>IF(HLOOKUP("Shots",A1:CV300,44,FALSE)=0,0,HLOOKUP("Headers",A1:CV300,44,FALSE)/HLOOKUP("Shots",A1:CV300,44,FALSE))</f>
      </c>
      <c r="U44" t="n" s="18587">
        <v>5.0</v>
      </c>
      <c r="V44" s="18588">
        <f>IF(HLOOKUP("Shots",A1:CV300,44,FALSE)=0,0,HLOOKUP("SOT",A1:CV300,44,FALSE)/HLOOKUP("Shots",A1:CV300,44,FALSE))</f>
      </c>
      <c r="W44" s="18589">
        <f>IF(HLOOKUP("Shots",A1:CV300,44,FALSE)=0,0,HLOOKUP("Gs",A1:CV300,44,FALSE)/HLOOKUP("Shots",A1:CV300,44,FALSE))</f>
      </c>
      <c r="X44" t="n" s="18590">
        <v>1.0</v>
      </c>
      <c r="Y44" t="n" s="18591">
        <v>6.0</v>
      </c>
      <c r="Z44" t="n" s="18592">
        <v>17.0</v>
      </c>
      <c r="AA44" s="18593">
        <f>IF(HLOOKUP("KP",A1:CV300,44,FALSE)=0,0,HLOOKUP("As",A1:CV300,44,FALSE)/HLOOKUP("KP",A1:CV300,44,FALSE))</f>
      </c>
      <c r="AB44" s="18594"/>
      <c r="AC44" t="n" s="18595">
        <v>80.0</v>
      </c>
      <c r="AD44" t="n" s="18596">
        <v>0.0</v>
      </c>
      <c r="AE44" t="n" s="18597">
        <v>1.0</v>
      </c>
      <c r="AF44" t="n" s="18598">
        <v>1.0</v>
      </c>
      <c r="AG44" s="18599">
        <f>IF(HLOOKUP("BC",A1:CV300,44,FALSE)=0,0,HLOOKUP("Gs - BC",A1:CV300,44,FALSE)/HLOOKUP("BC",A1:CV300,44,FALSE))</f>
      </c>
      <c r="AH44" s="18600">
        <f>HLOOKUP("BC",A1:CV300,44,FALSE) - HLOOKUP("BC Miss",A1:CV300,44,FALSE)</f>
      </c>
      <c r="AI44" s="18601">
        <f>IF(HLOOKUP("Gs",A1:CV300,44,FALSE)=0,0,HLOOKUP("Gs - BC",A1:CV300,44,FALSE)/HLOOKUP("Gs",A1:CV300,44,FALSE))</f>
      </c>
      <c r="AJ44" t="n" s="18602">
        <v>0.0</v>
      </c>
      <c r="AK44" t="n" s="18603">
        <v>1.0</v>
      </c>
      <c r="AL44" s="18604">
        <f>HLOOKUP("BC",A1:CV300,44,FALSE) - (HLOOKUP("PK Gs",A1:CV300,44,FALSE) + HLOOKUP("PK Miss",A1:CV300,44,FALSE))</f>
      </c>
      <c r="AM44" s="18605">
        <f>HLOOKUP("BC Miss",A1:CV300,44,FALSE) - HLOOKUP("PK Miss",A1:CV300,44,FALSE)</f>
      </c>
      <c r="AN44" s="18606">
        <f>IF(HLOOKUP("BC - Open",A1:CV300,44,FALSE)=0,0,HLOOKUP("BC - Open Miss",A1:CV300,44,FALSE)/HLOOKUP("BC - Open",A1:CV300,44,FALSE))</f>
      </c>
      <c r="AO44" t="n" s="18607">
        <v>1.0</v>
      </c>
      <c r="AP44" s="18608">
        <f>IF(HLOOKUP("Gs",A1:CV300,44,FALSE)=0,0,HLOOKUP("GIB",A1:CV300,44,FALSE)/HLOOKUP("Gs",A1:CV300,44,FALSE))</f>
      </c>
      <c r="AQ44" t="n" s="18609">
        <v>1.0</v>
      </c>
      <c r="AR44" s="18610">
        <f>IF(HLOOKUP("Gs",A1:CV300,44,FALSE)=0,0,HLOOKUP("Gs - Open",A1:CV300,44,FALSE)/HLOOKUP("Gs",A1:CV300,44,FALSE))</f>
      </c>
      <c r="AS44" t="n" s="18611">
        <v>1.32</v>
      </c>
      <c r="AT44" t="n" s="18612">
        <v>1.19</v>
      </c>
      <c r="AU44" s="18613">
        <f>IF(HLOOKUP("Mins",A1:CV300,44,FALSE)=0,0,HLOOKUP("Pts",A1:CV300,44,FALSE)/HLOOKUP("Mins",A1:CV300,44,FALSE)* 90)</f>
      </c>
      <c r="AV44" s="18614">
        <f>IF(HLOOKUP("Apps",A1:CV300,44,FALSE)=0,0,HLOOKUP("Pts",A1:CV300,44,FALSE)/HLOOKUP("Apps",A1:CV300,44,FALSE)* 1)</f>
      </c>
      <c r="AW44" s="18615">
        <f>IF(HLOOKUP("Mins",A1:CV300,44,FALSE)=0,0,HLOOKUP("Gs",A1:CV300,44,FALSE)/HLOOKUP("Mins",A1:CV300,44,FALSE)* 90)</f>
      </c>
      <c r="AX44" s="18616">
        <f>IF(HLOOKUP("Mins",A1:CV300,44,FALSE)=0,0,HLOOKUP("Bonus",A1:CV300,44,FALSE)/HLOOKUP("Mins",A1:CV300,44,FALSE)* 90)</f>
      </c>
      <c r="AY44" s="18617">
        <f>IF(HLOOKUP("Mins",A1:CV300,44,FALSE)=0,0,HLOOKUP("BPS",A1:CV300,44,FALSE)/HLOOKUP("Mins",A1:CV300,44,FALSE)* 90)</f>
      </c>
      <c r="AZ44" s="18618">
        <f>IF(HLOOKUP("Mins",A1:CV300,44,FALSE)=0,0,HLOOKUP("Base BPS",A1:CV300,44,FALSE)/HLOOKUP("Mins",A1:CV300,44,FALSE)* 90)</f>
      </c>
      <c r="BA44" s="18619">
        <f>IF(HLOOKUP("Mins",A1:CV300,44,FALSE)=0,0,HLOOKUP("PenTchs",A1:CV300,44,FALSE)/HLOOKUP("Mins",A1:CV300,44,FALSE)* 90)</f>
      </c>
      <c r="BB44" s="18620">
        <f>IF(HLOOKUP("Mins",A1:CV300,44,FALSE)=0,0,HLOOKUP("Shots",A1:CV300,44,FALSE)/HLOOKUP("Mins",A1:CV300,44,FALSE)* 90)</f>
      </c>
      <c r="BC44" s="18621">
        <f>IF(HLOOKUP("Mins",A1:CV300,44,FALSE)=0,0,HLOOKUP("SIB",A1:CV300,44,FALSE)/HLOOKUP("Mins",A1:CV300,44,FALSE)* 90)</f>
      </c>
      <c r="BD44" s="18622">
        <f>IF(HLOOKUP("Mins",A1:CV300,44,FALSE)=0,0,HLOOKUP("S6YD",A1:CV300,44,FALSE)/HLOOKUP("Mins",A1:CV300,44,FALSE)* 90)</f>
      </c>
      <c r="BE44" s="18623">
        <f>IF(HLOOKUP("Mins",A1:CV300,44,FALSE)=0,0,HLOOKUP("Headers",A1:CV300,44,FALSE)/HLOOKUP("Mins",A1:CV300,44,FALSE)* 90)</f>
      </c>
      <c r="BF44" s="18624">
        <f>IF(HLOOKUP("Mins",A1:CV300,44,FALSE)=0,0,HLOOKUP("SOT",A1:CV300,44,FALSE)/HLOOKUP("Mins",A1:CV300,44,FALSE)* 90)</f>
      </c>
      <c r="BG44" s="18625">
        <f>IF(HLOOKUP("Mins",A1:CV300,44,FALSE)=0,0,HLOOKUP("As",A1:CV300,44,FALSE)/HLOOKUP("Mins",A1:CV300,44,FALSE)* 90)</f>
      </c>
      <c r="BH44" s="18626">
        <f>IF(HLOOKUP("Mins",A1:CV300,44,FALSE)=0,0,HLOOKUP("FPL As",A1:CV300,44,FALSE)/HLOOKUP("Mins",A1:CV300,44,FALSE)* 90)</f>
      </c>
      <c r="BI44" s="18627">
        <f>IF(HLOOKUP("Mins",A1:CV300,44,FALSE)=0,0,HLOOKUP("BC Created",A1:CV300,44,FALSE)/HLOOKUP("Mins",A1:CV300,44,FALSE)* 90)</f>
      </c>
      <c r="BJ44" s="18628">
        <f>IF(HLOOKUP("Mins",A1:CV300,44,FALSE)=0,0,HLOOKUP("KP",A1:CV300,44,FALSE)/HLOOKUP("Mins",A1:CV300,44,FALSE)* 90)</f>
      </c>
      <c r="BK44" s="18629">
        <f>IF(HLOOKUP("Mins",A1:CV300,44,FALSE)=0,0,HLOOKUP("BC",A1:CV300,44,FALSE)/HLOOKUP("Mins",A1:CV300,44,FALSE)* 90)</f>
      </c>
      <c r="BL44" s="18630">
        <f>IF(HLOOKUP("Mins",A1:CV300,44,FALSE)=0,0,HLOOKUP("BC Miss",A1:CV300,44,FALSE)/HLOOKUP("Mins",A1:CV300,44,FALSE)* 90)</f>
      </c>
      <c r="BM44" s="18631">
        <f>IF(HLOOKUP("Mins",A1:CV300,44,FALSE)=0,0,HLOOKUP("Gs - BC",A1:CV300,44,FALSE)/HLOOKUP("Mins",A1:CV300,44,FALSE)* 90)</f>
      </c>
      <c r="BN44" s="18632">
        <f>IF(HLOOKUP("Mins",A1:CV300,44,FALSE)=0,0,HLOOKUP("GIB",A1:CV300,44,FALSE)/HLOOKUP("Mins",A1:CV300,44,FALSE)* 90)</f>
      </c>
      <c r="BO44" s="18633">
        <f>IF(HLOOKUP("Mins",A1:CV300,44,FALSE)=0,0,HLOOKUP("Gs - Open",A1:CV300,44,FALSE)/HLOOKUP("Mins",A1:CV300,44,FALSE)* 90)</f>
      </c>
      <c r="BP44" s="18634">
        <f>IF(HLOOKUP("Mins",A1:CV300,44,FALSE)=0,0,HLOOKUP("ICT Index",A1:CV300,44,FALSE)/HLOOKUP("Mins",A1:CV300,44,FALSE)* 90)</f>
      </c>
      <c r="BQ44" s="18635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18636">
        <f>0.0885*HLOOKUP("KP/90",A1:CV300,44,FALSE)</f>
      </c>
      <c r="BS44" s="18637">
        <f>5*HLOOKUP("xG/90",A1:CV300,44,FALSE)+3*HLOOKUP("xA/90",A1:CV300,44,FALSE)</f>
      </c>
      <c r="BT44" s="18638">
        <f>HLOOKUP("xPts/90",A1:CV300,44,FALSE)-(5*0.75*(HLOOKUP("PK Gs",A1:CV300,44,FALSE)+HLOOKUP("PK Miss",A1:CV300,44,FALSE))*90/HLOOKUP("Mins",A1:CV300,44,FALSE))</f>
      </c>
      <c r="BU44" s="18639">
        <f>IF(HLOOKUP("Mins",A1:CV300,44,FALSE)=0,0,HLOOKUP("fsXG",A1:CV300,44,FALSE)/HLOOKUP("Mins",A1:CV300,44,FALSE)* 90)</f>
      </c>
      <c r="BV44" s="18640">
        <f>IF(HLOOKUP("Mins",A1:CV300,44,FALSE)=0,0,HLOOKUP("fsXA",A1:CV300,44,FALSE)/HLOOKUP("Mins",A1:CV300,44,FALSE)* 90)</f>
      </c>
      <c r="BW44" s="18641">
        <f>5*HLOOKUP("fsXG/90",A1:CV300,44,FALSE)+3*HLOOKUP("fsXA/90",A1:CV300,44,FALSE)</f>
      </c>
      <c r="BX44" t="n" s="18642">
        <v>0.22755073010921478</v>
      </c>
      <c r="BY44" t="n" s="18643">
        <v>0.17312608659267426</v>
      </c>
      <c r="BZ44" s="18644">
        <f>5*HLOOKUP("uXG/90",A1:CV300,44,FALSE)+3*HLOOKUP("uXA/90",A1:CV300,44,FALSE)</f>
      </c>
    </row>
    <row r="45">
      <c r="A45" t="s" s="18645">
        <v>336</v>
      </c>
      <c r="B45" t="s" s="18646">
        <v>144</v>
      </c>
      <c r="C45" t="n" s="18647">
        <v>4.800000190734863</v>
      </c>
      <c r="D45" t="n" s="18648">
        <v>261.0</v>
      </c>
      <c r="E45" t="n" s="18649">
        <v>3.0</v>
      </c>
      <c r="F45" t="n" s="18650">
        <v>14.0</v>
      </c>
      <c r="G45" t="n" s="18651">
        <v>0.0</v>
      </c>
      <c r="H45" t="n" s="18652">
        <v>0.0</v>
      </c>
      <c r="I45" t="n" s="18653">
        <v>70.0</v>
      </c>
      <c r="J45" s="18654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18655">
        <v>0.0</v>
      </c>
      <c r="L45" t="n" s="18656">
        <v>3.0</v>
      </c>
      <c r="M45" t="n" s="18657">
        <v>1.0</v>
      </c>
      <c r="N45" t="n" s="18658">
        <v>1.0</v>
      </c>
      <c r="O45" t="n" s="18659">
        <v>0.0</v>
      </c>
      <c r="P45" s="18660">
        <f>IF(HLOOKUP("Shots",A1:CV300,45,FALSE)=0,0,HLOOKUP("SIB",A1:CV300,45,FALSE)/HLOOKUP("Shots",A1:CV300,45,FALSE))</f>
      </c>
      <c r="Q45" t="n" s="18661">
        <v>0.0</v>
      </c>
      <c r="R45" s="18662">
        <f>IF(HLOOKUP("Shots",A1:CV300,45,FALSE)=0,0,HLOOKUP("S6YD",A1:CV300,45,FALSE)/HLOOKUP("Shots",A1:CV300,45,FALSE))</f>
      </c>
      <c r="S45" t="n" s="18663">
        <v>0.0</v>
      </c>
      <c r="T45" s="18664">
        <f>IF(HLOOKUP("Shots",A1:CV300,45,FALSE)=0,0,HLOOKUP("Headers",A1:CV300,45,FALSE)/HLOOKUP("Shots",A1:CV300,45,FALSE))</f>
      </c>
      <c r="U45" t="n" s="18665">
        <v>0.0</v>
      </c>
      <c r="V45" s="18666">
        <f>IF(HLOOKUP("Shots",A1:CV300,45,FALSE)=0,0,HLOOKUP("SOT",A1:CV300,45,FALSE)/HLOOKUP("Shots",A1:CV300,45,FALSE))</f>
      </c>
      <c r="W45" s="18667">
        <f>IF(HLOOKUP("Shots",A1:CV300,45,FALSE)=0,0,HLOOKUP("Gs",A1:CV300,45,FALSE)/HLOOKUP("Shots",A1:CV300,45,FALSE))</f>
      </c>
      <c r="X45" t="n" s="18668">
        <v>0.0</v>
      </c>
      <c r="Y45" t="n" s="18669">
        <v>0.0</v>
      </c>
      <c r="Z45" t="n" s="18670">
        <v>1.0</v>
      </c>
      <c r="AA45" s="18671">
        <f>IF(HLOOKUP("KP",A1:CV300,45,FALSE)=0,0,HLOOKUP("As",A1:CV300,45,FALSE)/HLOOKUP("KP",A1:CV300,45,FALSE))</f>
      </c>
      <c r="AB45" s="18672"/>
      <c r="AC45" t="n" s="18673">
        <v>0.0</v>
      </c>
      <c r="AD45" t="n" s="18674">
        <v>0.0</v>
      </c>
      <c r="AE45" t="n" s="18675">
        <v>0.0</v>
      </c>
      <c r="AF45" t="n" s="18676">
        <v>0.0</v>
      </c>
      <c r="AG45" s="18677">
        <f>IF(HLOOKUP("BC",A1:CV300,45,FALSE)=0,0,HLOOKUP("Gs - BC",A1:CV300,45,FALSE)/HLOOKUP("BC",A1:CV300,45,FALSE))</f>
      </c>
      <c r="AH45" s="18678">
        <f>HLOOKUP("BC",A1:CV300,45,FALSE) - HLOOKUP("BC Miss",A1:CV300,45,FALSE)</f>
      </c>
      <c r="AI45" s="18679">
        <f>IF(HLOOKUP("Gs",A1:CV300,45,FALSE)=0,0,HLOOKUP("Gs - BC",A1:CV300,45,FALSE)/HLOOKUP("Gs",A1:CV300,45,FALSE))</f>
      </c>
      <c r="AJ45" t="n" s="18680">
        <v>0.0</v>
      </c>
      <c r="AK45" t="n" s="18681">
        <v>0.0</v>
      </c>
      <c r="AL45" s="18682">
        <f>HLOOKUP("BC",A1:CV300,45,FALSE) - (HLOOKUP("PK Gs",A1:CV300,45,FALSE) + HLOOKUP("PK Miss",A1:CV300,45,FALSE))</f>
      </c>
      <c r="AM45" s="18683">
        <f>HLOOKUP("BC Miss",A1:CV300,45,FALSE) - HLOOKUP("PK Miss",A1:CV300,45,FALSE)</f>
      </c>
      <c r="AN45" s="18684">
        <f>IF(HLOOKUP("BC - Open",A1:CV300,45,FALSE)=0,0,HLOOKUP("BC - Open Miss",A1:CV300,45,FALSE)/HLOOKUP("BC - Open",A1:CV300,45,FALSE))</f>
      </c>
      <c r="AO45" t="n" s="18685">
        <v>0.0</v>
      </c>
      <c r="AP45" s="18686">
        <f>IF(HLOOKUP("Gs",A1:CV300,45,FALSE)=0,0,HLOOKUP("GIB",A1:CV300,45,FALSE)/HLOOKUP("Gs",A1:CV300,45,FALSE))</f>
      </c>
      <c r="AQ45" t="n" s="18687">
        <v>0.0</v>
      </c>
      <c r="AR45" s="18688">
        <f>IF(HLOOKUP("Gs",A1:CV300,45,FALSE)=0,0,HLOOKUP("Gs - Open",A1:CV300,45,FALSE)/HLOOKUP("Gs",A1:CV300,45,FALSE))</f>
      </c>
      <c r="AS45" t="n" s="18689">
        <v>0.02</v>
      </c>
      <c r="AT45" t="n" s="18690">
        <v>0.31</v>
      </c>
      <c r="AU45" s="18691">
        <f>IF(HLOOKUP("Mins",A1:CV300,45,FALSE)=0,0,HLOOKUP("Pts",A1:CV300,45,FALSE)/HLOOKUP("Mins",A1:CV300,45,FALSE)* 90)</f>
      </c>
      <c r="AV45" s="18692">
        <f>IF(HLOOKUP("Apps",A1:CV300,45,FALSE)=0,0,HLOOKUP("Pts",A1:CV300,45,FALSE)/HLOOKUP("Apps",A1:CV300,45,FALSE)* 1)</f>
      </c>
      <c r="AW45" s="18693">
        <f>IF(HLOOKUP("Mins",A1:CV300,45,FALSE)=0,0,HLOOKUP("Gs",A1:CV300,45,FALSE)/HLOOKUP("Mins",A1:CV300,45,FALSE)* 90)</f>
      </c>
      <c r="AX45" s="18694">
        <f>IF(HLOOKUP("Mins",A1:CV300,45,FALSE)=0,0,HLOOKUP("Bonus",A1:CV300,45,FALSE)/HLOOKUP("Mins",A1:CV300,45,FALSE)* 90)</f>
      </c>
      <c r="AY45" s="18695">
        <f>IF(HLOOKUP("Mins",A1:CV300,45,FALSE)=0,0,HLOOKUP("BPS",A1:CV300,45,FALSE)/HLOOKUP("Mins",A1:CV300,45,FALSE)* 90)</f>
      </c>
      <c r="AZ45" s="18696">
        <f>IF(HLOOKUP("Mins",A1:CV300,45,FALSE)=0,0,HLOOKUP("Base BPS",A1:CV300,45,FALSE)/HLOOKUP("Mins",A1:CV300,45,FALSE)* 90)</f>
      </c>
      <c r="BA45" s="18697">
        <f>IF(HLOOKUP("Mins",A1:CV300,45,FALSE)=0,0,HLOOKUP("PenTchs",A1:CV300,45,FALSE)/HLOOKUP("Mins",A1:CV300,45,FALSE)* 90)</f>
      </c>
      <c r="BB45" s="18698">
        <f>IF(HLOOKUP("Mins",A1:CV300,45,FALSE)=0,0,HLOOKUP("Shots",A1:CV300,45,FALSE)/HLOOKUP("Mins",A1:CV300,45,FALSE)* 90)</f>
      </c>
      <c r="BC45" s="18699">
        <f>IF(HLOOKUP("Mins",A1:CV300,45,FALSE)=0,0,HLOOKUP("SIB",A1:CV300,45,FALSE)/HLOOKUP("Mins",A1:CV300,45,FALSE)* 90)</f>
      </c>
      <c r="BD45" s="18700">
        <f>IF(HLOOKUP("Mins",A1:CV300,45,FALSE)=0,0,HLOOKUP("S6YD",A1:CV300,45,FALSE)/HLOOKUP("Mins",A1:CV300,45,FALSE)* 90)</f>
      </c>
      <c r="BE45" s="18701">
        <f>IF(HLOOKUP("Mins",A1:CV300,45,FALSE)=0,0,HLOOKUP("Headers",A1:CV300,45,FALSE)/HLOOKUP("Mins",A1:CV300,45,FALSE)* 90)</f>
      </c>
      <c r="BF45" s="18702">
        <f>IF(HLOOKUP("Mins",A1:CV300,45,FALSE)=0,0,HLOOKUP("SOT",A1:CV300,45,FALSE)/HLOOKUP("Mins",A1:CV300,45,FALSE)* 90)</f>
      </c>
      <c r="BG45" s="18703">
        <f>IF(HLOOKUP("Mins",A1:CV300,45,FALSE)=0,0,HLOOKUP("As",A1:CV300,45,FALSE)/HLOOKUP("Mins",A1:CV300,45,FALSE)* 90)</f>
      </c>
      <c r="BH45" s="18704">
        <f>IF(HLOOKUP("Mins",A1:CV300,45,FALSE)=0,0,HLOOKUP("FPL As",A1:CV300,45,FALSE)/HLOOKUP("Mins",A1:CV300,45,FALSE)* 90)</f>
      </c>
      <c r="BI45" s="18705">
        <f>IF(HLOOKUP("Mins",A1:CV300,45,FALSE)=0,0,HLOOKUP("BC Created",A1:CV300,45,FALSE)/HLOOKUP("Mins",A1:CV300,45,FALSE)* 90)</f>
      </c>
      <c r="BJ45" s="18706">
        <f>IF(HLOOKUP("Mins",A1:CV300,45,FALSE)=0,0,HLOOKUP("KP",A1:CV300,45,FALSE)/HLOOKUP("Mins",A1:CV300,45,FALSE)* 90)</f>
      </c>
      <c r="BK45" s="18707">
        <f>IF(HLOOKUP("Mins",A1:CV300,45,FALSE)=0,0,HLOOKUP("BC",A1:CV300,45,FALSE)/HLOOKUP("Mins",A1:CV300,45,FALSE)* 90)</f>
      </c>
      <c r="BL45" s="18708">
        <f>IF(HLOOKUP("Mins",A1:CV300,45,FALSE)=0,0,HLOOKUP("BC Miss",A1:CV300,45,FALSE)/HLOOKUP("Mins",A1:CV300,45,FALSE)* 90)</f>
      </c>
      <c r="BM45" s="18709">
        <f>IF(HLOOKUP("Mins",A1:CV300,45,FALSE)=0,0,HLOOKUP("Gs - BC",A1:CV300,45,FALSE)/HLOOKUP("Mins",A1:CV300,45,FALSE)* 90)</f>
      </c>
      <c r="BN45" s="18710">
        <f>IF(HLOOKUP("Mins",A1:CV300,45,FALSE)=0,0,HLOOKUP("GIB",A1:CV300,45,FALSE)/HLOOKUP("Mins",A1:CV300,45,FALSE)* 90)</f>
      </c>
      <c r="BO45" s="18711">
        <f>IF(HLOOKUP("Mins",A1:CV300,45,FALSE)=0,0,HLOOKUP("Gs - Open",A1:CV300,45,FALSE)/HLOOKUP("Mins",A1:CV300,45,FALSE)* 90)</f>
      </c>
      <c r="BP45" s="18712">
        <f>IF(HLOOKUP("Mins",A1:CV300,45,FALSE)=0,0,HLOOKUP("ICT Index",A1:CV300,45,FALSE)/HLOOKUP("Mins",A1:CV300,45,FALSE)* 90)</f>
      </c>
      <c r="BQ45" s="18713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18714">
        <f>0.0885*HLOOKUP("KP/90",A1:CV300,45,FALSE)</f>
      </c>
      <c r="BS45" s="18715">
        <f>5*HLOOKUP("xG/90",A1:CV300,45,FALSE)+3*HLOOKUP("xA/90",A1:CV300,45,FALSE)</f>
      </c>
      <c r="BT45" s="18716">
        <f>HLOOKUP("xPts/90",A1:CV300,45,FALSE)-(5*0.75*(HLOOKUP("PK Gs",A1:CV300,45,FALSE)+HLOOKUP("PK Miss",A1:CV300,45,FALSE))*90/HLOOKUP("Mins",A1:CV300,45,FALSE))</f>
      </c>
      <c r="BU45" s="18717">
        <f>IF(HLOOKUP("Mins",A1:CV300,45,FALSE)=0,0,HLOOKUP("fsXG",A1:CV300,45,FALSE)/HLOOKUP("Mins",A1:CV300,45,FALSE)* 90)</f>
      </c>
      <c r="BV45" s="18718">
        <f>IF(HLOOKUP("Mins",A1:CV300,45,FALSE)=0,0,HLOOKUP("fsXA",A1:CV300,45,FALSE)/HLOOKUP("Mins",A1:CV300,45,FALSE)* 90)</f>
      </c>
      <c r="BW45" s="18719">
        <f>5*HLOOKUP("fsXG/90",A1:CV300,45,FALSE)+3*HLOOKUP("fsXA/90",A1:CV300,45,FALSE)</f>
      </c>
      <c r="BX45" t="n" s="18720">
        <v>0.010440449230372906</v>
      </c>
      <c r="BY45" t="n" s="18721">
        <v>0.03218705952167511</v>
      </c>
      <c r="BZ45" s="18722">
        <f>5*HLOOKUP("uXG/90",A1:CV300,45,FALSE)+3*HLOOKUP("uXA/90",A1:CV300,45,FALSE)</f>
      </c>
    </row>
    <row r="46">
      <c r="A46" t="s" s="18723">
        <v>337</v>
      </c>
      <c r="B46" t="s" s="18724">
        <v>92</v>
      </c>
      <c r="C46" t="n" s="18725">
        <v>5.900000095367432</v>
      </c>
      <c r="D46" t="n" s="18726">
        <v>206.0</v>
      </c>
      <c r="E46" t="n" s="18727">
        <v>4.0</v>
      </c>
      <c r="F46" t="n" s="18728">
        <v>65.0</v>
      </c>
      <c r="G46" t="n" s="18729">
        <v>0.0</v>
      </c>
      <c r="H46" t="n" s="18730">
        <v>5.0</v>
      </c>
      <c r="I46" t="n" s="18731">
        <v>205.0</v>
      </c>
      <c r="J46" s="18732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18733">
        <v>0.0</v>
      </c>
      <c r="L46" t="n" s="18734">
        <v>2.0</v>
      </c>
      <c r="M46" t="n" s="18735">
        <v>8.0</v>
      </c>
      <c r="N46" t="n" s="18736">
        <v>6.0</v>
      </c>
      <c r="O46" t="n" s="18737">
        <v>2.0</v>
      </c>
      <c r="P46" s="18738">
        <f>IF(HLOOKUP("Shots",A1:CV300,46,FALSE)=0,0,HLOOKUP("SIB",A1:CV300,46,FALSE)/HLOOKUP("Shots",A1:CV300,46,FALSE))</f>
      </c>
      <c r="Q46" t="n" s="18739">
        <v>0.0</v>
      </c>
      <c r="R46" s="18740">
        <f>IF(HLOOKUP("Shots",A1:CV300,46,FALSE)=0,0,HLOOKUP("S6YD",A1:CV300,46,FALSE)/HLOOKUP("Shots",A1:CV300,46,FALSE))</f>
      </c>
      <c r="S46" t="n" s="18741">
        <v>0.0</v>
      </c>
      <c r="T46" s="18742">
        <f>IF(HLOOKUP("Shots",A1:CV300,46,FALSE)=0,0,HLOOKUP("Headers",A1:CV300,46,FALSE)/HLOOKUP("Shots",A1:CV300,46,FALSE))</f>
      </c>
      <c r="U46" t="n" s="18743">
        <v>3.0</v>
      </c>
      <c r="V46" s="18744">
        <f>IF(HLOOKUP("Shots",A1:CV300,46,FALSE)=0,0,HLOOKUP("SOT",A1:CV300,46,FALSE)/HLOOKUP("Shots",A1:CV300,46,FALSE))</f>
      </c>
      <c r="W46" s="18745">
        <f>IF(HLOOKUP("Shots",A1:CV300,46,FALSE)=0,0,HLOOKUP("Gs",A1:CV300,46,FALSE)/HLOOKUP("Shots",A1:CV300,46,FALSE))</f>
      </c>
      <c r="X46" t="n" s="18746">
        <v>0.0</v>
      </c>
      <c r="Y46" t="n" s="18747">
        <v>0.0</v>
      </c>
      <c r="Z46" t="n" s="18748">
        <v>1.0</v>
      </c>
      <c r="AA46" s="18749">
        <f>IF(HLOOKUP("KP",A1:CV300,46,FALSE)=0,0,HLOOKUP("As",A1:CV300,46,FALSE)/HLOOKUP("KP",A1:CV300,46,FALSE))</f>
      </c>
      <c r="AB46" s="18750"/>
      <c r="AC46" t="n" s="18751">
        <v>0.0</v>
      </c>
      <c r="AD46" t="n" s="18752">
        <v>0.0</v>
      </c>
      <c r="AE46" t="n" s="18753">
        <v>0.0</v>
      </c>
      <c r="AF46" t="n" s="18754">
        <v>0.0</v>
      </c>
      <c r="AG46" s="18755">
        <f>IF(HLOOKUP("BC",A1:CV300,46,FALSE)=0,0,HLOOKUP("Gs - BC",A1:CV300,46,FALSE)/HLOOKUP("BC",A1:CV300,46,FALSE))</f>
      </c>
      <c r="AH46" s="18756">
        <f>HLOOKUP("BC",A1:CV300,46,FALSE) - HLOOKUP("BC Miss",A1:CV300,46,FALSE)</f>
      </c>
      <c r="AI46" s="18757">
        <f>IF(HLOOKUP("Gs",A1:CV300,46,FALSE)=0,0,HLOOKUP("Gs - BC",A1:CV300,46,FALSE)/HLOOKUP("Gs",A1:CV300,46,FALSE))</f>
      </c>
      <c r="AJ46" t="n" s="18758">
        <v>0.0</v>
      </c>
      <c r="AK46" t="n" s="18759">
        <v>0.0</v>
      </c>
      <c r="AL46" s="18760">
        <f>HLOOKUP("BC",A1:CV300,46,FALSE) - (HLOOKUP("PK Gs",A1:CV300,46,FALSE) + HLOOKUP("PK Miss",A1:CV300,46,FALSE))</f>
      </c>
      <c r="AM46" s="18761">
        <f>HLOOKUP("BC Miss",A1:CV300,46,FALSE) - HLOOKUP("PK Miss",A1:CV300,46,FALSE)</f>
      </c>
      <c r="AN46" s="18762">
        <f>IF(HLOOKUP("BC - Open",A1:CV300,46,FALSE)=0,0,HLOOKUP("BC - Open Miss",A1:CV300,46,FALSE)/HLOOKUP("BC - Open",A1:CV300,46,FALSE))</f>
      </c>
      <c r="AO46" t="n" s="18763">
        <v>0.0</v>
      </c>
      <c r="AP46" s="18764">
        <f>IF(HLOOKUP("Gs",A1:CV300,46,FALSE)=0,0,HLOOKUP("GIB",A1:CV300,46,FALSE)/HLOOKUP("Gs",A1:CV300,46,FALSE))</f>
      </c>
      <c r="AQ46" t="n" s="18765">
        <v>0.0</v>
      </c>
      <c r="AR46" s="18766">
        <f>IF(HLOOKUP("Gs",A1:CV300,46,FALSE)=0,0,HLOOKUP("Gs - Open",A1:CV300,46,FALSE)/HLOOKUP("Gs",A1:CV300,46,FALSE))</f>
      </c>
      <c r="AS46" t="n" s="18767">
        <v>0.31</v>
      </c>
      <c r="AT46" t="n" s="18768">
        <v>0.16</v>
      </c>
      <c r="AU46" s="18769">
        <f>IF(HLOOKUP("Mins",A1:CV300,46,FALSE)=0,0,HLOOKUP("Pts",A1:CV300,46,FALSE)/HLOOKUP("Mins",A1:CV300,46,FALSE)* 90)</f>
      </c>
      <c r="AV46" s="18770">
        <f>IF(HLOOKUP("Apps",A1:CV300,46,FALSE)=0,0,HLOOKUP("Pts",A1:CV300,46,FALSE)/HLOOKUP("Apps",A1:CV300,46,FALSE)* 1)</f>
      </c>
      <c r="AW46" s="18771">
        <f>IF(HLOOKUP("Mins",A1:CV300,46,FALSE)=0,0,HLOOKUP("Gs",A1:CV300,46,FALSE)/HLOOKUP("Mins",A1:CV300,46,FALSE)* 90)</f>
      </c>
      <c r="AX46" s="18772">
        <f>IF(HLOOKUP("Mins",A1:CV300,46,FALSE)=0,0,HLOOKUP("Bonus",A1:CV300,46,FALSE)/HLOOKUP("Mins",A1:CV300,46,FALSE)* 90)</f>
      </c>
      <c r="AY46" s="18773">
        <f>IF(HLOOKUP("Mins",A1:CV300,46,FALSE)=0,0,HLOOKUP("BPS",A1:CV300,46,FALSE)/HLOOKUP("Mins",A1:CV300,46,FALSE)* 90)</f>
      </c>
      <c r="AZ46" s="18774">
        <f>IF(HLOOKUP("Mins",A1:CV300,46,FALSE)=0,0,HLOOKUP("Base BPS",A1:CV300,46,FALSE)/HLOOKUP("Mins",A1:CV300,46,FALSE)* 90)</f>
      </c>
      <c r="BA46" s="18775">
        <f>IF(HLOOKUP("Mins",A1:CV300,46,FALSE)=0,0,HLOOKUP("PenTchs",A1:CV300,46,FALSE)/HLOOKUP("Mins",A1:CV300,46,FALSE)* 90)</f>
      </c>
      <c r="BB46" s="18776">
        <f>IF(HLOOKUP("Mins",A1:CV300,46,FALSE)=0,0,HLOOKUP("Shots",A1:CV300,46,FALSE)/HLOOKUP("Mins",A1:CV300,46,FALSE)* 90)</f>
      </c>
      <c r="BC46" s="18777">
        <f>IF(HLOOKUP("Mins",A1:CV300,46,FALSE)=0,0,HLOOKUP("SIB",A1:CV300,46,FALSE)/HLOOKUP("Mins",A1:CV300,46,FALSE)* 90)</f>
      </c>
      <c r="BD46" s="18778">
        <f>IF(HLOOKUP("Mins",A1:CV300,46,FALSE)=0,0,HLOOKUP("S6YD",A1:CV300,46,FALSE)/HLOOKUP("Mins",A1:CV300,46,FALSE)* 90)</f>
      </c>
      <c r="BE46" s="18779">
        <f>IF(HLOOKUP("Mins",A1:CV300,46,FALSE)=0,0,HLOOKUP("Headers",A1:CV300,46,FALSE)/HLOOKUP("Mins",A1:CV300,46,FALSE)* 90)</f>
      </c>
      <c r="BF46" s="18780">
        <f>IF(HLOOKUP("Mins",A1:CV300,46,FALSE)=0,0,HLOOKUP("SOT",A1:CV300,46,FALSE)/HLOOKUP("Mins",A1:CV300,46,FALSE)* 90)</f>
      </c>
      <c r="BG46" s="18781">
        <f>IF(HLOOKUP("Mins",A1:CV300,46,FALSE)=0,0,HLOOKUP("As",A1:CV300,46,FALSE)/HLOOKUP("Mins",A1:CV300,46,FALSE)* 90)</f>
      </c>
      <c r="BH46" s="18782">
        <f>IF(HLOOKUP("Mins",A1:CV300,46,FALSE)=0,0,HLOOKUP("FPL As",A1:CV300,46,FALSE)/HLOOKUP("Mins",A1:CV300,46,FALSE)* 90)</f>
      </c>
      <c r="BI46" s="18783">
        <f>IF(HLOOKUP("Mins",A1:CV300,46,FALSE)=0,0,HLOOKUP("BC Created",A1:CV300,46,FALSE)/HLOOKUP("Mins",A1:CV300,46,FALSE)* 90)</f>
      </c>
      <c r="BJ46" s="18784">
        <f>IF(HLOOKUP("Mins",A1:CV300,46,FALSE)=0,0,HLOOKUP("KP",A1:CV300,46,FALSE)/HLOOKUP("Mins",A1:CV300,46,FALSE)* 90)</f>
      </c>
      <c r="BK46" s="18785">
        <f>IF(HLOOKUP("Mins",A1:CV300,46,FALSE)=0,0,HLOOKUP("BC",A1:CV300,46,FALSE)/HLOOKUP("Mins",A1:CV300,46,FALSE)* 90)</f>
      </c>
      <c r="BL46" s="18786">
        <f>IF(HLOOKUP("Mins",A1:CV300,46,FALSE)=0,0,HLOOKUP("BC Miss",A1:CV300,46,FALSE)/HLOOKUP("Mins",A1:CV300,46,FALSE)* 90)</f>
      </c>
      <c r="BM46" s="18787">
        <f>IF(HLOOKUP("Mins",A1:CV300,46,FALSE)=0,0,HLOOKUP("Gs - BC",A1:CV300,46,FALSE)/HLOOKUP("Mins",A1:CV300,46,FALSE)* 90)</f>
      </c>
      <c r="BN46" s="18788">
        <f>IF(HLOOKUP("Mins",A1:CV300,46,FALSE)=0,0,HLOOKUP("GIB",A1:CV300,46,FALSE)/HLOOKUP("Mins",A1:CV300,46,FALSE)* 90)</f>
      </c>
      <c r="BO46" s="18789">
        <f>IF(HLOOKUP("Mins",A1:CV300,46,FALSE)=0,0,HLOOKUP("Gs - Open",A1:CV300,46,FALSE)/HLOOKUP("Mins",A1:CV300,46,FALSE)* 90)</f>
      </c>
      <c r="BP46" s="18790">
        <f>IF(HLOOKUP("Mins",A1:CV300,46,FALSE)=0,0,HLOOKUP("ICT Index",A1:CV300,46,FALSE)/HLOOKUP("Mins",A1:CV300,46,FALSE)* 90)</f>
      </c>
      <c r="BQ46" s="18791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18792">
        <f>0.0885*HLOOKUP("KP/90",A1:CV300,46,FALSE)</f>
      </c>
      <c r="BS46" s="18793">
        <f>5*HLOOKUP("xG/90",A1:CV300,46,FALSE)+3*HLOOKUP("xA/90",A1:CV300,46,FALSE)</f>
      </c>
      <c r="BT46" s="18794">
        <f>HLOOKUP("xPts/90",A1:CV300,46,FALSE)-(5*0.75*(HLOOKUP("PK Gs",A1:CV300,46,FALSE)+HLOOKUP("PK Miss",A1:CV300,46,FALSE))*90/HLOOKUP("Mins",A1:CV300,46,FALSE))</f>
      </c>
      <c r="BU46" s="18795">
        <f>IF(HLOOKUP("Mins",A1:CV300,46,FALSE)=0,0,HLOOKUP("fsXG",A1:CV300,46,FALSE)/HLOOKUP("Mins",A1:CV300,46,FALSE)* 90)</f>
      </c>
      <c r="BV46" s="18796">
        <f>IF(HLOOKUP("Mins",A1:CV300,46,FALSE)=0,0,HLOOKUP("fsXA",A1:CV300,46,FALSE)/HLOOKUP("Mins",A1:CV300,46,FALSE)* 90)</f>
      </c>
      <c r="BW46" s="18797">
        <f>5*HLOOKUP("fsXG/90",A1:CV300,46,FALSE)+3*HLOOKUP("fsXA/90",A1:CV300,46,FALSE)</f>
      </c>
      <c r="BX46" t="n" s="18798">
        <v>0.11998957395553589</v>
      </c>
      <c r="BY46" t="n" s="18799">
        <v>0.025585219264030457</v>
      </c>
      <c r="BZ46" s="18800">
        <f>5*HLOOKUP("uXG/90",A1:CV300,46,FALSE)+3*HLOOKUP("uXA/90",A1:CV300,46,FALSE)</f>
      </c>
    </row>
    <row r="47">
      <c r="A47" t="s" s="18801">
        <v>338</v>
      </c>
      <c r="B47" t="s" s="18802">
        <v>117</v>
      </c>
      <c r="C47" t="n" s="18803">
        <v>6.199999809265137</v>
      </c>
      <c r="D47" t="n" s="18804">
        <v>483.0</v>
      </c>
      <c r="E47" t="n" s="18805">
        <v>6.0</v>
      </c>
      <c r="F47" t="n" s="18806">
        <v>53.0</v>
      </c>
      <c r="G47" t="n" s="18807">
        <v>2.0</v>
      </c>
      <c r="H47" t="n" s="18808">
        <v>2.0</v>
      </c>
      <c r="I47" t="n" s="18809">
        <v>145.0</v>
      </c>
      <c r="J47" s="18810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18811">
        <v>0.0</v>
      </c>
      <c r="L47" t="n" s="18812">
        <v>4.0</v>
      </c>
      <c r="M47" t="n" s="18813">
        <v>32.0</v>
      </c>
      <c r="N47" t="n" s="18814">
        <v>14.0</v>
      </c>
      <c r="O47" t="n" s="18815">
        <v>12.0</v>
      </c>
      <c r="P47" s="18816">
        <f>IF(HLOOKUP("Shots",A1:CV300,47,FALSE)=0,0,HLOOKUP("SIB",A1:CV300,47,FALSE)/HLOOKUP("Shots",A1:CV300,47,FALSE))</f>
      </c>
      <c r="Q47" t="n" s="18817">
        <v>0.0</v>
      </c>
      <c r="R47" s="18818">
        <f>IF(HLOOKUP("Shots",A1:CV300,47,FALSE)=0,0,HLOOKUP("S6YD",A1:CV300,47,FALSE)/HLOOKUP("Shots",A1:CV300,47,FALSE))</f>
      </c>
      <c r="S47" t="n" s="18819">
        <v>0.0</v>
      </c>
      <c r="T47" s="18820">
        <f>IF(HLOOKUP("Shots",A1:CV300,47,FALSE)=0,0,HLOOKUP("Headers",A1:CV300,47,FALSE)/HLOOKUP("Shots",A1:CV300,47,FALSE))</f>
      </c>
      <c r="U47" t="n" s="18821">
        <v>4.0</v>
      </c>
      <c r="V47" s="18822">
        <f>IF(HLOOKUP("Shots",A1:CV300,47,FALSE)=0,0,HLOOKUP("SOT",A1:CV300,47,FALSE)/HLOOKUP("Shots",A1:CV300,47,FALSE))</f>
      </c>
      <c r="W47" s="18823">
        <f>IF(HLOOKUP("Shots",A1:CV300,47,FALSE)=0,0,HLOOKUP("Gs",A1:CV300,47,FALSE)/HLOOKUP("Shots",A1:CV300,47,FALSE))</f>
      </c>
      <c r="X47" t="n" s="18824">
        <v>2.0</v>
      </c>
      <c r="Y47" t="n" s="18825">
        <v>3.0</v>
      </c>
      <c r="Z47" t="n" s="18826">
        <v>6.0</v>
      </c>
      <c r="AA47" s="18827">
        <f>IF(HLOOKUP("KP",A1:CV300,47,FALSE)=0,0,HLOOKUP("As",A1:CV300,47,FALSE)/HLOOKUP("KP",A1:CV300,47,FALSE))</f>
      </c>
      <c r="AB47" s="18828"/>
      <c r="AC47" t="n" s="18829">
        <v>50.0</v>
      </c>
      <c r="AD47" t="n" s="18830">
        <v>2.0</v>
      </c>
      <c r="AE47" t="n" s="18831">
        <v>3.0</v>
      </c>
      <c r="AF47" t="n" s="18832">
        <v>2.0</v>
      </c>
      <c r="AG47" s="18833">
        <f>IF(HLOOKUP("BC",A1:CV300,47,FALSE)=0,0,HLOOKUP("Gs - BC",A1:CV300,47,FALSE)/HLOOKUP("BC",A1:CV300,47,FALSE))</f>
      </c>
      <c r="AH47" s="18834">
        <f>HLOOKUP("BC",A1:CV300,47,FALSE) - HLOOKUP("BC Miss",A1:CV300,47,FALSE)</f>
      </c>
      <c r="AI47" s="18835">
        <f>IF(HLOOKUP("Gs",A1:CV300,47,FALSE)=0,0,HLOOKUP("Gs - BC",A1:CV300,47,FALSE)/HLOOKUP("Gs",A1:CV300,47,FALSE))</f>
      </c>
      <c r="AJ47" t="n" s="18836">
        <v>0.0</v>
      </c>
      <c r="AK47" t="n" s="18837">
        <v>0.0</v>
      </c>
      <c r="AL47" s="18838">
        <f>HLOOKUP("BC",A1:CV300,47,FALSE) - (HLOOKUP("PK Gs",A1:CV300,47,FALSE) + HLOOKUP("PK Miss",A1:CV300,47,FALSE))</f>
      </c>
      <c r="AM47" s="18839">
        <f>HLOOKUP("BC Miss",A1:CV300,47,FALSE) - HLOOKUP("PK Miss",A1:CV300,47,FALSE)</f>
      </c>
      <c r="AN47" s="18840">
        <f>IF(HLOOKUP("BC - Open",A1:CV300,47,FALSE)=0,0,HLOOKUP("BC - Open Miss",A1:CV300,47,FALSE)/HLOOKUP("BC - Open",A1:CV300,47,FALSE))</f>
      </c>
      <c r="AO47" t="n" s="18841">
        <v>2.0</v>
      </c>
      <c r="AP47" s="18842">
        <f>IF(HLOOKUP("Gs",A1:CV300,47,FALSE)=0,0,HLOOKUP("GIB",A1:CV300,47,FALSE)/HLOOKUP("Gs",A1:CV300,47,FALSE))</f>
      </c>
      <c r="AQ47" t="n" s="18843">
        <v>0.0</v>
      </c>
      <c r="AR47" s="18844">
        <f>IF(HLOOKUP("Gs",A1:CV300,47,FALSE)=0,0,HLOOKUP("Gs - Open",A1:CV300,47,FALSE)/HLOOKUP("Gs",A1:CV300,47,FALSE))</f>
      </c>
      <c r="AS47" t="n" s="18845">
        <v>2.01</v>
      </c>
      <c r="AT47" t="n" s="18846">
        <v>0.45</v>
      </c>
      <c r="AU47" s="18847">
        <f>IF(HLOOKUP("Mins",A1:CV300,47,FALSE)=0,0,HLOOKUP("Pts",A1:CV300,47,FALSE)/HLOOKUP("Mins",A1:CV300,47,FALSE)* 90)</f>
      </c>
      <c r="AV47" s="18848">
        <f>IF(HLOOKUP("Apps",A1:CV300,47,FALSE)=0,0,HLOOKUP("Pts",A1:CV300,47,FALSE)/HLOOKUP("Apps",A1:CV300,47,FALSE)* 1)</f>
      </c>
      <c r="AW47" s="18849">
        <f>IF(HLOOKUP("Mins",A1:CV300,47,FALSE)=0,0,HLOOKUP("Gs",A1:CV300,47,FALSE)/HLOOKUP("Mins",A1:CV300,47,FALSE)* 90)</f>
      </c>
      <c r="AX47" s="18850">
        <f>IF(HLOOKUP("Mins",A1:CV300,47,FALSE)=0,0,HLOOKUP("Bonus",A1:CV300,47,FALSE)/HLOOKUP("Mins",A1:CV300,47,FALSE)* 90)</f>
      </c>
      <c r="AY47" s="18851">
        <f>IF(HLOOKUP("Mins",A1:CV300,47,FALSE)=0,0,HLOOKUP("BPS",A1:CV300,47,FALSE)/HLOOKUP("Mins",A1:CV300,47,FALSE)* 90)</f>
      </c>
      <c r="AZ47" s="18852">
        <f>IF(HLOOKUP("Mins",A1:CV300,47,FALSE)=0,0,HLOOKUP("Base BPS",A1:CV300,47,FALSE)/HLOOKUP("Mins",A1:CV300,47,FALSE)* 90)</f>
      </c>
      <c r="BA47" s="18853">
        <f>IF(HLOOKUP("Mins",A1:CV300,47,FALSE)=0,0,HLOOKUP("PenTchs",A1:CV300,47,FALSE)/HLOOKUP("Mins",A1:CV300,47,FALSE)* 90)</f>
      </c>
      <c r="BB47" s="18854">
        <f>IF(HLOOKUP("Mins",A1:CV300,47,FALSE)=0,0,HLOOKUP("Shots",A1:CV300,47,FALSE)/HLOOKUP("Mins",A1:CV300,47,FALSE)* 90)</f>
      </c>
      <c r="BC47" s="18855">
        <f>IF(HLOOKUP("Mins",A1:CV300,47,FALSE)=0,0,HLOOKUP("SIB",A1:CV300,47,FALSE)/HLOOKUP("Mins",A1:CV300,47,FALSE)* 90)</f>
      </c>
      <c r="BD47" s="18856">
        <f>IF(HLOOKUP("Mins",A1:CV300,47,FALSE)=0,0,HLOOKUP("S6YD",A1:CV300,47,FALSE)/HLOOKUP("Mins",A1:CV300,47,FALSE)* 90)</f>
      </c>
      <c r="BE47" s="18857">
        <f>IF(HLOOKUP("Mins",A1:CV300,47,FALSE)=0,0,HLOOKUP("Headers",A1:CV300,47,FALSE)/HLOOKUP("Mins",A1:CV300,47,FALSE)* 90)</f>
      </c>
      <c r="BF47" s="18858">
        <f>IF(HLOOKUP("Mins",A1:CV300,47,FALSE)=0,0,HLOOKUP("SOT",A1:CV300,47,FALSE)/HLOOKUP("Mins",A1:CV300,47,FALSE)* 90)</f>
      </c>
      <c r="BG47" s="18859">
        <f>IF(HLOOKUP("Mins",A1:CV300,47,FALSE)=0,0,HLOOKUP("As",A1:CV300,47,FALSE)/HLOOKUP("Mins",A1:CV300,47,FALSE)* 90)</f>
      </c>
      <c r="BH47" s="18860">
        <f>IF(HLOOKUP("Mins",A1:CV300,47,FALSE)=0,0,HLOOKUP("FPL As",A1:CV300,47,FALSE)/HLOOKUP("Mins",A1:CV300,47,FALSE)* 90)</f>
      </c>
      <c r="BI47" s="18861">
        <f>IF(HLOOKUP("Mins",A1:CV300,47,FALSE)=0,0,HLOOKUP("BC Created",A1:CV300,47,FALSE)/HLOOKUP("Mins",A1:CV300,47,FALSE)* 90)</f>
      </c>
      <c r="BJ47" s="18862">
        <f>IF(HLOOKUP("Mins",A1:CV300,47,FALSE)=0,0,HLOOKUP("KP",A1:CV300,47,FALSE)/HLOOKUP("Mins",A1:CV300,47,FALSE)* 90)</f>
      </c>
      <c r="BK47" s="18863">
        <f>IF(HLOOKUP("Mins",A1:CV300,47,FALSE)=0,0,HLOOKUP("BC",A1:CV300,47,FALSE)/HLOOKUP("Mins",A1:CV300,47,FALSE)* 90)</f>
      </c>
      <c r="BL47" s="18864">
        <f>IF(HLOOKUP("Mins",A1:CV300,47,FALSE)=0,0,HLOOKUP("BC Miss",A1:CV300,47,FALSE)/HLOOKUP("Mins",A1:CV300,47,FALSE)* 90)</f>
      </c>
      <c r="BM47" s="18865">
        <f>IF(HLOOKUP("Mins",A1:CV300,47,FALSE)=0,0,HLOOKUP("Gs - BC",A1:CV300,47,FALSE)/HLOOKUP("Mins",A1:CV300,47,FALSE)* 90)</f>
      </c>
      <c r="BN47" s="18866">
        <f>IF(HLOOKUP("Mins",A1:CV300,47,FALSE)=0,0,HLOOKUP("GIB",A1:CV300,47,FALSE)/HLOOKUP("Mins",A1:CV300,47,FALSE)* 90)</f>
      </c>
      <c r="BO47" s="18867">
        <f>IF(HLOOKUP("Mins",A1:CV300,47,FALSE)=0,0,HLOOKUP("Gs - Open",A1:CV300,47,FALSE)/HLOOKUP("Mins",A1:CV300,47,FALSE)* 90)</f>
      </c>
      <c r="BP47" s="18868">
        <f>IF(HLOOKUP("Mins",A1:CV300,47,FALSE)=0,0,HLOOKUP("ICT Index",A1:CV300,47,FALSE)/HLOOKUP("Mins",A1:CV300,47,FALSE)* 90)</f>
      </c>
      <c r="BQ47" s="18869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18870">
        <f>0.0885*HLOOKUP("KP/90",A1:CV300,47,FALSE)</f>
      </c>
      <c r="BS47" s="18871">
        <f>5*HLOOKUP("xG/90",A1:CV300,47,FALSE)+3*HLOOKUP("xA/90",A1:CV300,47,FALSE)</f>
      </c>
      <c r="BT47" s="18872">
        <f>HLOOKUP("xPts/90",A1:CV300,47,FALSE)-(5*0.75*(HLOOKUP("PK Gs",A1:CV300,47,FALSE)+HLOOKUP("PK Miss",A1:CV300,47,FALSE))*90/HLOOKUP("Mins",A1:CV300,47,FALSE))</f>
      </c>
      <c r="BU47" s="18873">
        <f>IF(HLOOKUP("Mins",A1:CV300,47,FALSE)=0,0,HLOOKUP("fsXG",A1:CV300,47,FALSE)/HLOOKUP("Mins",A1:CV300,47,FALSE)* 90)</f>
      </c>
      <c r="BV47" s="18874">
        <f>IF(HLOOKUP("Mins",A1:CV300,47,FALSE)=0,0,HLOOKUP("fsXA",A1:CV300,47,FALSE)/HLOOKUP("Mins",A1:CV300,47,FALSE)* 90)</f>
      </c>
      <c r="BW47" s="18875">
        <f>5*HLOOKUP("fsXG/90",A1:CV300,47,FALSE)+3*HLOOKUP("fsXA/90",A1:CV300,47,FALSE)</f>
      </c>
      <c r="BX47" t="n" s="18876">
        <v>0.35694870352745056</v>
      </c>
      <c r="BY47" t="n" s="18877">
        <v>0.15952683985233307</v>
      </c>
      <c r="BZ47" s="18878">
        <f>5*HLOOKUP("uXG/90",A1:CV300,47,FALSE)+3*HLOOKUP("uXA/90",A1:CV300,47,FALSE)</f>
      </c>
    </row>
    <row r="48">
      <c r="A48" t="s" s="18879">
        <v>339</v>
      </c>
      <c r="B48" t="s" s="18880">
        <v>98</v>
      </c>
      <c r="C48" t="n" s="18881">
        <v>4.300000190734863</v>
      </c>
      <c r="D48" t="n" s="18882">
        <v>65.0</v>
      </c>
      <c r="E48" t="n" s="18883">
        <v>5.0</v>
      </c>
      <c r="F48" t="n" s="18884">
        <v>30.0</v>
      </c>
      <c r="G48" t="n" s="18885">
        <v>0.0</v>
      </c>
      <c r="H48" t="n" s="18886">
        <v>0.0</v>
      </c>
      <c r="I48" t="n" s="18887">
        <v>179.0</v>
      </c>
      <c r="J48" s="18888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18889">
        <v>0.0</v>
      </c>
      <c r="L48" t="n" s="18890">
        <v>2.0</v>
      </c>
      <c r="M48" t="n" s="18891">
        <v>0.0</v>
      </c>
      <c r="N48" t="n" s="18892">
        <v>0.0</v>
      </c>
      <c r="O48" t="n" s="18893">
        <v>0.0</v>
      </c>
      <c r="P48" s="18894">
        <f>IF(HLOOKUP("Shots",A1:CV300,48,FALSE)=0,0,HLOOKUP("SIB",A1:CV300,48,FALSE)/HLOOKUP("Shots",A1:CV300,48,FALSE))</f>
      </c>
      <c r="Q48" t="n" s="18895">
        <v>0.0</v>
      </c>
      <c r="R48" s="18896">
        <f>IF(HLOOKUP("Shots",A1:CV300,48,FALSE)=0,0,HLOOKUP("S6YD",A1:CV300,48,FALSE)/HLOOKUP("Shots",A1:CV300,48,FALSE))</f>
      </c>
      <c r="S48" t="n" s="18897">
        <v>0.0</v>
      </c>
      <c r="T48" s="18898">
        <f>IF(HLOOKUP("Shots",A1:CV300,48,FALSE)=0,0,HLOOKUP("Headers",A1:CV300,48,FALSE)/HLOOKUP("Shots",A1:CV300,48,FALSE))</f>
      </c>
      <c r="U48" t="n" s="18899">
        <v>0.0</v>
      </c>
      <c r="V48" s="18900">
        <f>IF(HLOOKUP("Shots",A1:CV300,48,FALSE)=0,0,HLOOKUP("SOT",A1:CV300,48,FALSE)/HLOOKUP("Shots",A1:CV300,48,FALSE))</f>
      </c>
      <c r="W48" s="18901">
        <f>IF(HLOOKUP("Shots",A1:CV300,48,FALSE)=0,0,HLOOKUP("Gs",A1:CV300,48,FALSE)/HLOOKUP("Shots",A1:CV300,48,FALSE))</f>
      </c>
      <c r="X48" t="n" s="18902">
        <v>0.0</v>
      </c>
      <c r="Y48" t="n" s="18903">
        <v>0.0</v>
      </c>
      <c r="Z48" t="n" s="18904">
        <v>0.0</v>
      </c>
      <c r="AA48" s="18905">
        <f>IF(HLOOKUP("KP",A1:CV300,48,FALSE)=0,0,HLOOKUP("As",A1:CV300,48,FALSE)/HLOOKUP("KP",A1:CV300,48,FALSE))</f>
      </c>
      <c r="AB48" s="18906"/>
      <c r="AC48" t="n" s="18907">
        <v>0.0</v>
      </c>
      <c r="AD48" t="n" s="18908">
        <v>0.0</v>
      </c>
      <c r="AE48" t="n" s="18909">
        <v>0.0</v>
      </c>
      <c r="AF48" t="n" s="18910">
        <v>0.0</v>
      </c>
      <c r="AG48" s="18911">
        <f>IF(HLOOKUP("BC",A1:CV300,48,FALSE)=0,0,HLOOKUP("Gs - BC",A1:CV300,48,FALSE)/HLOOKUP("BC",A1:CV300,48,FALSE))</f>
      </c>
      <c r="AH48" s="18912">
        <f>HLOOKUP("BC",A1:CV300,48,FALSE) - HLOOKUP("BC Miss",A1:CV300,48,FALSE)</f>
      </c>
      <c r="AI48" s="18913">
        <f>IF(HLOOKUP("Gs",A1:CV300,48,FALSE)=0,0,HLOOKUP("Gs - BC",A1:CV300,48,FALSE)/HLOOKUP("Gs",A1:CV300,48,FALSE))</f>
      </c>
      <c r="AJ48" t="n" s="18914">
        <v>0.0</v>
      </c>
      <c r="AK48" t="n" s="18915">
        <v>0.0</v>
      </c>
      <c r="AL48" s="18916">
        <f>HLOOKUP("BC",A1:CV300,48,FALSE) - (HLOOKUP("PK Gs",A1:CV300,48,FALSE) + HLOOKUP("PK Miss",A1:CV300,48,FALSE))</f>
      </c>
      <c r="AM48" s="18917">
        <f>HLOOKUP("BC Miss",A1:CV300,48,FALSE) - HLOOKUP("PK Miss",A1:CV300,48,FALSE)</f>
      </c>
      <c r="AN48" s="18918">
        <f>IF(HLOOKUP("BC - Open",A1:CV300,48,FALSE)=0,0,HLOOKUP("BC - Open Miss",A1:CV300,48,FALSE)/HLOOKUP("BC - Open",A1:CV300,48,FALSE))</f>
      </c>
      <c r="AO48" t="n" s="18919">
        <v>0.0</v>
      </c>
      <c r="AP48" s="18920">
        <f>IF(HLOOKUP("Gs",A1:CV300,48,FALSE)=0,0,HLOOKUP("GIB",A1:CV300,48,FALSE)/HLOOKUP("Gs",A1:CV300,48,FALSE))</f>
      </c>
      <c r="AQ48" t="n" s="18921">
        <v>0.0</v>
      </c>
      <c r="AR48" s="18922">
        <f>IF(HLOOKUP("Gs",A1:CV300,48,FALSE)=0,0,HLOOKUP("Gs - Open",A1:CV300,48,FALSE)/HLOOKUP("Gs",A1:CV300,48,FALSE))</f>
      </c>
      <c r="AS48" t="n" s="18923">
        <v>0.0</v>
      </c>
      <c r="AT48" t="n" s="18924">
        <v>0.02</v>
      </c>
      <c r="AU48" s="18925">
        <f>IF(HLOOKUP("Mins",A1:CV300,48,FALSE)=0,0,HLOOKUP("Pts",A1:CV300,48,FALSE)/HLOOKUP("Mins",A1:CV300,48,FALSE)* 90)</f>
      </c>
      <c r="AV48" s="18926">
        <f>IF(HLOOKUP("Apps",A1:CV300,48,FALSE)=0,0,HLOOKUP("Pts",A1:CV300,48,FALSE)/HLOOKUP("Apps",A1:CV300,48,FALSE)* 1)</f>
      </c>
      <c r="AW48" s="18927">
        <f>IF(HLOOKUP("Mins",A1:CV300,48,FALSE)=0,0,HLOOKUP("Gs",A1:CV300,48,FALSE)/HLOOKUP("Mins",A1:CV300,48,FALSE)* 90)</f>
      </c>
      <c r="AX48" s="18928">
        <f>IF(HLOOKUP("Mins",A1:CV300,48,FALSE)=0,0,HLOOKUP("Bonus",A1:CV300,48,FALSE)/HLOOKUP("Mins",A1:CV300,48,FALSE)* 90)</f>
      </c>
      <c r="AY48" s="18929">
        <f>IF(HLOOKUP("Mins",A1:CV300,48,FALSE)=0,0,HLOOKUP("BPS",A1:CV300,48,FALSE)/HLOOKUP("Mins",A1:CV300,48,FALSE)* 90)</f>
      </c>
      <c r="AZ48" s="18930">
        <f>IF(HLOOKUP("Mins",A1:CV300,48,FALSE)=0,0,HLOOKUP("Base BPS",A1:CV300,48,FALSE)/HLOOKUP("Mins",A1:CV300,48,FALSE)* 90)</f>
      </c>
      <c r="BA48" s="18931">
        <f>IF(HLOOKUP("Mins",A1:CV300,48,FALSE)=0,0,HLOOKUP("PenTchs",A1:CV300,48,FALSE)/HLOOKUP("Mins",A1:CV300,48,FALSE)* 90)</f>
      </c>
      <c r="BB48" s="18932">
        <f>IF(HLOOKUP("Mins",A1:CV300,48,FALSE)=0,0,HLOOKUP("Shots",A1:CV300,48,FALSE)/HLOOKUP("Mins",A1:CV300,48,FALSE)* 90)</f>
      </c>
      <c r="BC48" s="18933">
        <f>IF(HLOOKUP("Mins",A1:CV300,48,FALSE)=0,0,HLOOKUP("SIB",A1:CV300,48,FALSE)/HLOOKUP("Mins",A1:CV300,48,FALSE)* 90)</f>
      </c>
      <c r="BD48" s="18934">
        <f>IF(HLOOKUP("Mins",A1:CV300,48,FALSE)=0,0,HLOOKUP("S6YD",A1:CV300,48,FALSE)/HLOOKUP("Mins",A1:CV300,48,FALSE)* 90)</f>
      </c>
      <c r="BE48" s="18935">
        <f>IF(HLOOKUP("Mins",A1:CV300,48,FALSE)=0,0,HLOOKUP("Headers",A1:CV300,48,FALSE)/HLOOKUP("Mins",A1:CV300,48,FALSE)* 90)</f>
      </c>
      <c r="BF48" s="18936">
        <f>IF(HLOOKUP("Mins",A1:CV300,48,FALSE)=0,0,HLOOKUP("SOT",A1:CV300,48,FALSE)/HLOOKUP("Mins",A1:CV300,48,FALSE)* 90)</f>
      </c>
      <c r="BG48" s="18937">
        <f>IF(HLOOKUP("Mins",A1:CV300,48,FALSE)=0,0,HLOOKUP("As",A1:CV300,48,FALSE)/HLOOKUP("Mins",A1:CV300,48,FALSE)* 90)</f>
      </c>
      <c r="BH48" s="18938">
        <f>IF(HLOOKUP("Mins",A1:CV300,48,FALSE)=0,0,HLOOKUP("FPL As",A1:CV300,48,FALSE)/HLOOKUP("Mins",A1:CV300,48,FALSE)* 90)</f>
      </c>
      <c r="BI48" s="18939">
        <f>IF(HLOOKUP("Mins",A1:CV300,48,FALSE)=0,0,HLOOKUP("BC Created",A1:CV300,48,FALSE)/HLOOKUP("Mins",A1:CV300,48,FALSE)* 90)</f>
      </c>
      <c r="BJ48" s="18940">
        <f>IF(HLOOKUP("Mins",A1:CV300,48,FALSE)=0,0,HLOOKUP("KP",A1:CV300,48,FALSE)/HLOOKUP("Mins",A1:CV300,48,FALSE)* 90)</f>
      </c>
      <c r="BK48" s="18941">
        <f>IF(HLOOKUP("Mins",A1:CV300,48,FALSE)=0,0,HLOOKUP("BC",A1:CV300,48,FALSE)/HLOOKUP("Mins",A1:CV300,48,FALSE)* 90)</f>
      </c>
      <c r="BL48" s="18942">
        <f>IF(HLOOKUP("Mins",A1:CV300,48,FALSE)=0,0,HLOOKUP("BC Miss",A1:CV300,48,FALSE)/HLOOKUP("Mins",A1:CV300,48,FALSE)* 90)</f>
      </c>
      <c r="BM48" s="18943">
        <f>IF(HLOOKUP("Mins",A1:CV300,48,FALSE)=0,0,HLOOKUP("Gs - BC",A1:CV300,48,FALSE)/HLOOKUP("Mins",A1:CV300,48,FALSE)* 90)</f>
      </c>
      <c r="BN48" s="18944">
        <f>IF(HLOOKUP("Mins",A1:CV300,48,FALSE)=0,0,HLOOKUP("GIB",A1:CV300,48,FALSE)/HLOOKUP("Mins",A1:CV300,48,FALSE)* 90)</f>
      </c>
      <c r="BO48" s="18945">
        <f>IF(HLOOKUP("Mins",A1:CV300,48,FALSE)=0,0,HLOOKUP("Gs - Open",A1:CV300,48,FALSE)/HLOOKUP("Mins",A1:CV300,48,FALSE)* 90)</f>
      </c>
      <c r="BP48" s="18946">
        <f>IF(HLOOKUP("Mins",A1:CV300,48,FALSE)=0,0,HLOOKUP("ICT Index",A1:CV300,48,FALSE)/HLOOKUP("Mins",A1:CV300,48,FALSE)* 90)</f>
      </c>
      <c r="BQ48" s="18947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18948">
        <f>0.0885*HLOOKUP("KP/90",A1:CV300,48,FALSE)</f>
      </c>
      <c r="BS48" s="18949">
        <f>5*HLOOKUP("xG/90",A1:CV300,48,FALSE)+3*HLOOKUP("xA/90",A1:CV300,48,FALSE)</f>
      </c>
      <c r="BT48" s="18950">
        <f>HLOOKUP("xPts/90",A1:CV300,48,FALSE)-(5*0.75*(HLOOKUP("PK Gs",A1:CV300,48,FALSE)+HLOOKUP("PK Miss",A1:CV300,48,FALSE))*90/HLOOKUP("Mins",A1:CV300,48,FALSE))</f>
      </c>
      <c r="BU48" s="18951">
        <f>IF(HLOOKUP("Mins",A1:CV300,48,FALSE)=0,0,HLOOKUP("fsXG",A1:CV300,48,FALSE)/HLOOKUP("Mins",A1:CV300,48,FALSE)* 90)</f>
      </c>
      <c r="BV48" s="18952">
        <f>IF(HLOOKUP("Mins",A1:CV300,48,FALSE)=0,0,HLOOKUP("fsXA",A1:CV300,48,FALSE)/HLOOKUP("Mins",A1:CV300,48,FALSE)* 90)</f>
      </c>
      <c r="BW48" s="18953">
        <f>5*HLOOKUP("fsXG/90",A1:CV300,48,FALSE)+3*HLOOKUP("fsXA/90",A1:CV300,48,FALSE)</f>
      </c>
      <c r="BX48" t="n" s="18954">
        <v>0.0</v>
      </c>
      <c r="BY48" t="n" s="18955">
        <v>0.0</v>
      </c>
      <c r="BZ48" s="18956">
        <f>5*HLOOKUP("uXG/90",A1:CV300,48,FALSE)+3*HLOOKUP("uXA/90",A1:CV300,48,FALSE)</f>
      </c>
    </row>
    <row r="49">
      <c r="A49" t="s" s="18957">
        <v>340</v>
      </c>
      <c r="B49" t="s" s="18958">
        <v>107</v>
      </c>
      <c r="C49" t="n" s="18959">
        <v>4.5</v>
      </c>
      <c r="D49" t="n" s="18960">
        <v>7.0</v>
      </c>
      <c r="E49" t="n" s="18961">
        <v>1.0</v>
      </c>
      <c r="F49" t="n" s="18962">
        <v>1.0</v>
      </c>
      <c r="G49" t="n" s="18963">
        <v>0.0</v>
      </c>
      <c r="H49" t="n" s="18964">
        <v>0.0</v>
      </c>
      <c r="I49" t="n" s="18965">
        <v>5.0</v>
      </c>
      <c r="J49" s="18966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18967">
        <v>0.0</v>
      </c>
      <c r="L49" t="n" s="18968">
        <v>0.0</v>
      </c>
      <c r="M49" t="n" s="18969">
        <v>1.0</v>
      </c>
      <c r="N49" t="n" s="18970">
        <v>0.0</v>
      </c>
      <c r="O49" t="n" s="18971">
        <v>0.0</v>
      </c>
      <c r="P49" s="18972">
        <f>IF(HLOOKUP("Shots",A1:CV300,49,FALSE)=0,0,HLOOKUP("SIB",A1:CV300,49,FALSE)/HLOOKUP("Shots",A1:CV300,49,FALSE))</f>
      </c>
      <c r="Q49" t="n" s="18973">
        <v>0.0</v>
      </c>
      <c r="R49" s="18974">
        <f>IF(HLOOKUP("Shots",A1:CV300,49,FALSE)=0,0,HLOOKUP("S6YD",A1:CV300,49,FALSE)/HLOOKUP("Shots",A1:CV300,49,FALSE))</f>
      </c>
      <c r="S49" t="n" s="18975">
        <v>0.0</v>
      </c>
      <c r="T49" s="18976">
        <f>IF(HLOOKUP("Shots",A1:CV300,49,FALSE)=0,0,HLOOKUP("Headers",A1:CV300,49,FALSE)/HLOOKUP("Shots",A1:CV300,49,FALSE))</f>
      </c>
      <c r="U49" t="n" s="18977">
        <v>0.0</v>
      </c>
      <c r="V49" s="18978">
        <f>IF(HLOOKUP("Shots",A1:CV300,49,FALSE)=0,0,HLOOKUP("SOT",A1:CV300,49,FALSE)/HLOOKUP("Shots",A1:CV300,49,FALSE))</f>
      </c>
      <c r="W49" s="18979">
        <f>IF(HLOOKUP("Shots",A1:CV300,49,FALSE)=0,0,HLOOKUP("Gs",A1:CV300,49,FALSE)/HLOOKUP("Shots",A1:CV300,49,FALSE))</f>
      </c>
      <c r="X49" t="n" s="18980">
        <v>0.0</v>
      </c>
      <c r="Y49" t="n" s="18981">
        <v>0.0</v>
      </c>
      <c r="Z49" t="n" s="18982">
        <v>2.0</v>
      </c>
      <c r="AA49" s="18983">
        <f>IF(HLOOKUP("KP",A1:CV300,49,FALSE)=0,0,HLOOKUP("As",A1:CV300,49,FALSE)/HLOOKUP("KP",A1:CV300,49,FALSE))</f>
      </c>
      <c r="AB49" s="18984"/>
      <c r="AC49" t="n" s="18985">
        <v>0.0</v>
      </c>
      <c r="AD49" t="n" s="18986">
        <v>0.0</v>
      </c>
      <c r="AE49" t="n" s="18987">
        <v>0.0</v>
      </c>
      <c r="AF49" t="n" s="18988">
        <v>0.0</v>
      </c>
      <c r="AG49" s="18989">
        <f>IF(HLOOKUP("BC",A1:CV300,49,FALSE)=0,0,HLOOKUP("Gs - BC",A1:CV300,49,FALSE)/HLOOKUP("BC",A1:CV300,49,FALSE))</f>
      </c>
      <c r="AH49" s="18990">
        <f>HLOOKUP("BC",A1:CV300,49,FALSE) - HLOOKUP("BC Miss",A1:CV300,49,FALSE)</f>
      </c>
      <c r="AI49" s="18991">
        <f>IF(HLOOKUP("Gs",A1:CV300,49,FALSE)=0,0,HLOOKUP("Gs - BC",A1:CV300,49,FALSE)/HLOOKUP("Gs",A1:CV300,49,FALSE))</f>
      </c>
      <c r="AJ49" t="n" s="18992">
        <v>0.0</v>
      </c>
      <c r="AK49" t="n" s="18993">
        <v>0.0</v>
      </c>
      <c r="AL49" s="18994">
        <f>HLOOKUP("BC",A1:CV300,49,FALSE) - (HLOOKUP("PK Gs",A1:CV300,49,FALSE) + HLOOKUP("PK Miss",A1:CV300,49,FALSE))</f>
      </c>
      <c r="AM49" s="18995">
        <f>HLOOKUP("BC Miss",A1:CV300,49,FALSE) - HLOOKUP("PK Miss",A1:CV300,49,FALSE)</f>
      </c>
      <c r="AN49" s="18996">
        <f>IF(HLOOKUP("BC - Open",A1:CV300,49,FALSE)=0,0,HLOOKUP("BC - Open Miss",A1:CV300,49,FALSE)/HLOOKUP("BC - Open",A1:CV300,49,FALSE))</f>
      </c>
      <c r="AO49" t="n" s="18997">
        <v>0.0</v>
      </c>
      <c r="AP49" s="18998">
        <f>IF(HLOOKUP("Gs",A1:CV300,49,FALSE)=0,0,HLOOKUP("GIB",A1:CV300,49,FALSE)/HLOOKUP("Gs",A1:CV300,49,FALSE))</f>
      </c>
      <c r="AQ49" t="n" s="18999">
        <v>0.0</v>
      </c>
      <c r="AR49" s="19000">
        <f>IF(HLOOKUP("Gs",A1:CV300,49,FALSE)=0,0,HLOOKUP("Gs - Open",A1:CV300,49,FALSE)/HLOOKUP("Gs",A1:CV300,49,FALSE))</f>
      </c>
      <c r="AS49" t="n" s="19001">
        <v>0.0</v>
      </c>
      <c r="AT49" t="n" s="19002">
        <v>0.02</v>
      </c>
      <c r="AU49" s="19003">
        <f>IF(HLOOKUP("Mins",A1:CV300,49,FALSE)=0,0,HLOOKUP("Pts",A1:CV300,49,FALSE)/HLOOKUP("Mins",A1:CV300,49,FALSE)* 90)</f>
      </c>
      <c r="AV49" s="19004">
        <f>IF(HLOOKUP("Apps",A1:CV300,49,FALSE)=0,0,HLOOKUP("Pts",A1:CV300,49,FALSE)/HLOOKUP("Apps",A1:CV300,49,FALSE)* 1)</f>
      </c>
      <c r="AW49" s="19005">
        <f>IF(HLOOKUP("Mins",A1:CV300,49,FALSE)=0,0,HLOOKUP("Gs",A1:CV300,49,FALSE)/HLOOKUP("Mins",A1:CV300,49,FALSE)* 90)</f>
      </c>
      <c r="AX49" s="19006">
        <f>IF(HLOOKUP("Mins",A1:CV300,49,FALSE)=0,0,HLOOKUP("Bonus",A1:CV300,49,FALSE)/HLOOKUP("Mins",A1:CV300,49,FALSE)* 90)</f>
      </c>
      <c r="AY49" s="19007">
        <f>IF(HLOOKUP("Mins",A1:CV300,49,FALSE)=0,0,HLOOKUP("BPS",A1:CV300,49,FALSE)/HLOOKUP("Mins",A1:CV300,49,FALSE)* 90)</f>
      </c>
      <c r="AZ49" s="19008">
        <f>IF(HLOOKUP("Mins",A1:CV300,49,FALSE)=0,0,HLOOKUP("Base BPS",A1:CV300,49,FALSE)/HLOOKUP("Mins",A1:CV300,49,FALSE)* 90)</f>
      </c>
      <c r="BA49" s="19009">
        <f>IF(HLOOKUP("Mins",A1:CV300,49,FALSE)=0,0,HLOOKUP("PenTchs",A1:CV300,49,FALSE)/HLOOKUP("Mins",A1:CV300,49,FALSE)* 90)</f>
      </c>
      <c r="BB49" s="19010">
        <f>IF(HLOOKUP("Mins",A1:CV300,49,FALSE)=0,0,HLOOKUP("Shots",A1:CV300,49,FALSE)/HLOOKUP("Mins",A1:CV300,49,FALSE)* 90)</f>
      </c>
      <c r="BC49" s="19011">
        <f>IF(HLOOKUP("Mins",A1:CV300,49,FALSE)=0,0,HLOOKUP("SIB",A1:CV300,49,FALSE)/HLOOKUP("Mins",A1:CV300,49,FALSE)* 90)</f>
      </c>
      <c r="BD49" s="19012">
        <f>IF(HLOOKUP("Mins",A1:CV300,49,FALSE)=0,0,HLOOKUP("S6YD",A1:CV300,49,FALSE)/HLOOKUP("Mins",A1:CV300,49,FALSE)* 90)</f>
      </c>
      <c r="BE49" s="19013">
        <f>IF(HLOOKUP("Mins",A1:CV300,49,FALSE)=0,0,HLOOKUP("Headers",A1:CV300,49,FALSE)/HLOOKUP("Mins",A1:CV300,49,FALSE)* 90)</f>
      </c>
      <c r="BF49" s="19014">
        <f>IF(HLOOKUP("Mins",A1:CV300,49,FALSE)=0,0,HLOOKUP("SOT",A1:CV300,49,FALSE)/HLOOKUP("Mins",A1:CV300,49,FALSE)* 90)</f>
      </c>
      <c r="BG49" s="19015">
        <f>IF(HLOOKUP("Mins",A1:CV300,49,FALSE)=0,0,HLOOKUP("As",A1:CV300,49,FALSE)/HLOOKUP("Mins",A1:CV300,49,FALSE)* 90)</f>
      </c>
      <c r="BH49" s="19016">
        <f>IF(HLOOKUP("Mins",A1:CV300,49,FALSE)=0,0,HLOOKUP("FPL As",A1:CV300,49,FALSE)/HLOOKUP("Mins",A1:CV300,49,FALSE)* 90)</f>
      </c>
      <c r="BI49" s="19017">
        <f>IF(HLOOKUP("Mins",A1:CV300,49,FALSE)=0,0,HLOOKUP("BC Created",A1:CV300,49,FALSE)/HLOOKUP("Mins",A1:CV300,49,FALSE)* 90)</f>
      </c>
      <c r="BJ49" s="19018">
        <f>IF(HLOOKUP("Mins",A1:CV300,49,FALSE)=0,0,HLOOKUP("KP",A1:CV300,49,FALSE)/HLOOKUP("Mins",A1:CV300,49,FALSE)* 90)</f>
      </c>
      <c r="BK49" s="19019">
        <f>IF(HLOOKUP("Mins",A1:CV300,49,FALSE)=0,0,HLOOKUP("BC",A1:CV300,49,FALSE)/HLOOKUP("Mins",A1:CV300,49,FALSE)* 90)</f>
      </c>
      <c r="BL49" s="19020">
        <f>IF(HLOOKUP("Mins",A1:CV300,49,FALSE)=0,0,HLOOKUP("BC Miss",A1:CV300,49,FALSE)/HLOOKUP("Mins",A1:CV300,49,FALSE)* 90)</f>
      </c>
      <c r="BM49" s="19021">
        <f>IF(HLOOKUP("Mins",A1:CV300,49,FALSE)=0,0,HLOOKUP("Gs - BC",A1:CV300,49,FALSE)/HLOOKUP("Mins",A1:CV300,49,FALSE)* 90)</f>
      </c>
      <c r="BN49" s="19022">
        <f>IF(HLOOKUP("Mins",A1:CV300,49,FALSE)=0,0,HLOOKUP("GIB",A1:CV300,49,FALSE)/HLOOKUP("Mins",A1:CV300,49,FALSE)* 90)</f>
      </c>
      <c r="BO49" s="19023">
        <f>IF(HLOOKUP("Mins",A1:CV300,49,FALSE)=0,0,HLOOKUP("Gs - Open",A1:CV300,49,FALSE)/HLOOKUP("Mins",A1:CV300,49,FALSE)* 90)</f>
      </c>
      <c r="BP49" s="19024">
        <f>IF(HLOOKUP("Mins",A1:CV300,49,FALSE)=0,0,HLOOKUP("ICT Index",A1:CV300,49,FALSE)/HLOOKUP("Mins",A1:CV300,49,FALSE)* 90)</f>
      </c>
      <c r="BQ49" s="19025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19026">
        <f>0.0885*HLOOKUP("KP/90",A1:CV300,49,FALSE)</f>
      </c>
      <c r="BS49" s="19027">
        <f>5*HLOOKUP("xG/90",A1:CV300,49,FALSE)+3*HLOOKUP("xA/90",A1:CV300,49,FALSE)</f>
      </c>
      <c r="BT49" s="19028">
        <f>HLOOKUP("xPts/90",A1:CV300,49,FALSE)-(5*0.75*(HLOOKUP("PK Gs",A1:CV300,49,FALSE)+HLOOKUP("PK Miss",A1:CV300,49,FALSE))*90/HLOOKUP("Mins",A1:CV300,49,FALSE))</f>
      </c>
      <c r="BU49" s="19029">
        <f>IF(HLOOKUP("Mins",A1:CV300,49,FALSE)=0,0,HLOOKUP("fsXG",A1:CV300,49,FALSE)/HLOOKUP("Mins",A1:CV300,49,FALSE)* 90)</f>
      </c>
      <c r="BV49" s="19030">
        <f>IF(HLOOKUP("Mins",A1:CV300,49,FALSE)=0,0,HLOOKUP("fsXA",A1:CV300,49,FALSE)/HLOOKUP("Mins",A1:CV300,49,FALSE)* 90)</f>
      </c>
      <c r="BW49" s="19031">
        <f>5*HLOOKUP("fsXG/90",A1:CV300,49,FALSE)+3*HLOOKUP("fsXA/90",A1:CV300,49,FALSE)</f>
      </c>
      <c r="BX49" t="n" s="19032">
        <v>0.0</v>
      </c>
      <c r="BY49" t="n" s="19033">
        <v>1.4327811002731323</v>
      </c>
      <c r="BZ49" s="19034">
        <f>5*HLOOKUP("uXG/90",A1:CV300,49,FALSE)+3*HLOOKUP("uXA/90",A1:CV300,49,FALSE)</f>
      </c>
    </row>
    <row r="50">
      <c r="A50" t="s" s="19035">
        <v>341</v>
      </c>
      <c r="B50" t="s" s="19036">
        <v>105</v>
      </c>
      <c r="C50" t="n" s="19037">
        <v>10.699999809265137</v>
      </c>
      <c r="D50" t="n" s="19038">
        <v>489.0</v>
      </c>
      <c r="E50" t="n" s="19039">
        <v>6.0</v>
      </c>
      <c r="F50" t="n" s="19040">
        <v>150.0</v>
      </c>
      <c r="G50" t="n" s="19041">
        <v>3.0</v>
      </c>
      <c r="H50" t="n" s="19042">
        <v>19.0</v>
      </c>
      <c r="I50" t="n" s="19043">
        <v>601.0</v>
      </c>
      <c r="J50" s="19044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19045">
        <v>0.0</v>
      </c>
      <c r="L50" t="n" s="19046">
        <v>9.0</v>
      </c>
      <c r="M50" t="n" s="19047">
        <v>25.0</v>
      </c>
      <c r="N50" t="n" s="19048">
        <v>16.0</v>
      </c>
      <c r="O50" t="n" s="19049">
        <v>6.0</v>
      </c>
      <c r="P50" s="19050">
        <f>IF(HLOOKUP("Shots",A1:CV300,50,FALSE)=0,0,HLOOKUP("SIB",A1:CV300,50,FALSE)/HLOOKUP("Shots",A1:CV300,50,FALSE))</f>
      </c>
      <c r="Q50" t="n" s="19051">
        <v>0.0</v>
      </c>
      <c r="R50" s="19052">
        <f>IF(HLOOKUP("Shots",A1:CV300,50,FALSE)=0,0,HLOOKUP("S6YD",A1:CV300,50,FALSE)/HLOOKUP("Shots",A1:CV300,50,FALSE))</f>
      </c>
      <c r="S50" t="n" s="19053">
        <v>0.0</v>
      </c>
      <c r="T50" s="19054">
        <f>IF(HLOOKUP("Shots",A1:CV300,50,FALSE)=0,0,HLOOKUP("Headers",A1:CV300,50,FALSE)/HLOOKUP("Shots",A1:CV300,50,FALSE))</f>
      </c>
      <c r="U50" t="n" s="19055">
        <v>8.0</v>
      </c>
      <c r="V50" s="19056">
        <f>IF(HLOOKUP("Shots",A1:CV300,50,FALSE)=0,0,HLOOKUP("SOT",A1:CV300,50,FALSE)/HLOOKUP("Shots",A1:CV300,50,FALSE))</f>
      </c>
      <c r="W50" s="19057">
        <f>IF(HLOOKUP("Shots",A1:CV300,50,FALSE)=0,0,HLOOKUP("Gs",A1:CV300,50,FALSE)/HLOOKUP("Shots",A1:CV300,50,FALSE))</f>
      </c>
      <c r="X50" t="n" s="19058">
        <v>5.0</v>
      </c>
      <c r="Y50" t="n" s="19059">
        <v>16.0</v>
      </c>
      <c r="Z50" t="n" s="19060">
        <v>16.0</v>
      </c>
      <c r="AA50" s="19061">
        <f>IF(HLOOKUP("KP",A1:CV300,50,FALSE)=0,0,HLOOKUP("As",A1:CV300,50,FALSE)/HLOOKUP("KP",A1:CV300,50,FALSE))</f>
      </c>
      <c r="AB50" s="19062"/>
      <c r="AC50" t="n" s="19063">
        <v>53.0</v>
      </c>
      <c r="AD50" t="n" s="19064">
        <v>4.0</v>
      </c>
      <c r="AE50" t="n" s="19065">
        <v>0.0</v>
      </c>
      <c r="AF50" t="n" s="19066">
        <v>0.0</v>
      </c>
      <c r="AG50" s="19067">
        <f>IF(HLOOKUP("BC",A1:CV300,50,FALSE)=0,0,HLOOKUP("Gs - BC",A1:CV300,50,FALSE)/HLOOKUP("BC",A1:CV300,50,FALSE))</f>
      </c>
      <c r="AH50" s="19068">
        <f>HLOOKUP("BC",A1:CV300,50,FALSE) - HLOOKUP("BC Miss",A1:CV300,50,FALSE)</f>
      </c>
      <c r="AI50" s="19069">
        <f>IF(HLOOKUP("Gs",A1:CV300,50,FALSE)=0,0,HLOOKUP("Gs - BC",A1:CV300,50,FALSE)/HLOOKUP("Gs",A1:CV300,50,FALSE))</f>
      </c>
      <c r="AJ50" t="n" s="19070">
        <v>0.0</v>
      </c>
      <c r="AK50" t="n" s="19071">
        <v>0.0</v>
      </c>
      <c r="AL50" s="19072">
        <f>HLOOKUP("BC",A1:CV300,50,FALSE) - (HLOOKUP("PK Gs",A1:CV300,50,FALSE) + HLOOKUP("PK Miss",A1:CV300,50,FALSE))</f>
      </c>
      <c r="AM50" s="19073">
        <f>HLOOKUP("BC Miss",A1:CV300,50,FALSE) - HLOOKUP("PK Miss",A1:CV300,50,FALSE)</f>
      </c>
      <c r="AN50" s="19074">
        <f>IF(HLOOKUP("BC - Open",A1:CV300,50,FALSE)=0,0,HLOOKUP("BC - Open Miss",A1:CV300,50,FALSE)/HLOOKUP("BC - Open",A1:CV300,50,FALSE))</f>
      </c>
      <c r="AO50" t="n" s="19075">
        <v>2.0</v>
      </c>
      <c r="AP50" s="19076">
        <f>IF(HLOOKUP("Gs",A1:CV300,50,FALSE)=0,0,HLOOKUP("GIB",A1:CV300,50,FALSE)/HLOOKUP("Gs",A1:CV300,50,FALSE))</f>
      </c>
      <c r="AQ50" t="n" s="19077">
        <v>3.0</v>
      </c>
      <c r="AR50" s="19078">
        <f>IF(HLOOKUP("Gs",A1:CV300,50,FALSE)=0,0,HLOOKUP("Gs - Open",A1:CV300,50,FALSE)/HLOOKUP("Gs",A1:CV300,50,FALSE))</f>
      </c>
      <c r="AS50" t="n" s="19079">
        <v>0.78</v>
      </c>
      <c r="AT50" t="n" s="19080">
        <v>1.79</v>
      </c>
      <c r="AU50" s="19081">
        <f>IF(HLOOKUP("Mins",A1:CV300,50,FALSE)=0,0,HLOOKUP("Pts",A1:CV300,50,FALSE)/HLOOKUP("Mins",A1:CV300,50,FALSE)* 90)</f>
      </c>
      <c r="AV50" s="19082">
        <f>IF(HLOOKUP("Apps",A1:CV300,50,FALSE)=0,0,HLOOKUP("Pts",A1:CV300,50,FALSE)/HLOOKUP("Apps",A1:CV300,50,FALSE)* 1)</f>
      </c>
      <c r="AW50" s="19083">
        <f>IF(HLOOKUP("Mins",A1:CV300,50,FALSE)=0,0,HLOOKUP("Gs",A1:CV300,50,FALSE)/HLOOKUP("Mins",A1:CV300,50,FALSE)* 90)</f>
      </c>
      <c r="AX50" s="19084">
        <f>IF(HLOOKUP("Mins",A1:CV300,50,FALSE)=0,0,HLOOKUP("Bonus",A1:CV300,50,FALSE)/HLOOKUP("Mins",A1:CV300,50,FALSE)* 90)</f>
      </c>
      <c r="AY50" s="19085">
        <f>IF(HLOOKUP("Mins",A1:CV300,50,FALSE)=0,0,HLOOKUP("BPS",A1:CV300,50,FALSE)/HLOOKUP("Mins",A1:CV300,50,FALSE)* 90)</f>
      </c>
      <c r="AZ50" s="19086">
        <f>IF(HLOOKUP("Mins",A1:CV300,50,FALSE)=0,0,HLOOKUP("Base BPS",A1:CV300,50,FALSE)/HLOOKUP("Mins",A1:CV300,50,FALSE)* 90)</f>
      </c>
      <c r="BA50" s="19087">
        <f>IF(HLOOKUP("Mins",A1:CV300,50,FALSE)=0,0,HLOOKUP("PenTchs",A1:CV300,50,FALSE)/HLOOKUP("Mins",A1:CV300,50,FALSE)* 90)</f>
      </c>
      <c r="BB50" s="19088">
        <f>IF(HLOOKUP("Mins",A1:CV300,50,FALSE)=0,0,HLOOKUP("Shots",A1:CV300,50,FALSE)/HLOOKUP("Mins",A1:CV300,50,FALSE)* 90)</f>
      </c>
      <c r="BC50" s="19089">
        <f>IF(HLOOKUP("Mins",A1:CV300,50,FALSE)=0,0,HLOOKUP("SIB",A1:CV300,50,FALSE)/HLOOKUP("Mins",A1:CV300,50,FALSE)* 90)</f>
      </c>
      <c r="BD50" s="19090">
        <f>IF(HLOOKUP("Mins",A1:CV300,50,FALSE)=0,0,HLOOKUP("S6YD",A1:CV300,50,FALSE)/HLOOKUP("Mins",A1:CV300,50,FALSE)* 90)</f>
      </c>
      <c r="BE50" s="19091">
        <f>IF(HLOOKUP("Mins",A1:CV300,50,FALSE)=0,0,HLOOKUP("Headers",A1:CV300,50,FALSE)/HLOOKUP("Mins",A1:CV300,50,FALSE)* 90)</f>
      </c>
      <c r="BF50" s="19092">
        <f>IF(HLOOKUP("Mins",A1:CV300,50,FALSE)=0,0,HLOOKUP("SOT",A1:CV300,50,FALSE)/HLOOKUP("Mins",A1:CV300,50,FALSE)* 90)</f>
      </c>
      <c r="BG50" s="19093">
        <f>IF(HLOOKUP("Mins",A1:CV300,50,FALSE)=0,0,HLOOKUP("As",A1:CV300,50,FALSE)/HLOOKUP("Mins",A1:CV300,50,FALSE)* 90)</f>
      </c>
      <c r="BH50" s="19094">
        <f>IF(HLOOKUP("Mins",A1:CV300,50,FALSE)=0,0,HLOOKUP("FPL As",A1:CV300,50,FALSE)/HLOOKUP("Mins",A1:CV300,50,FALSE)* 90)</f>
      </c>
      <c r="BI50" s="19095">
        <f>IF(HLOOKUP("Mins",A1:CV300,50,FALSE)=0,0,HLOOKUP("BC Created",A1:CV300,50,FALSE)/HLOOKUP("Mins",A1:CV300,50,FALSE)* 90)</f>
      </c>
      <c r="BJ50" s="19096">
        <f>IF(HLOOKUP("Mins",A1:CV300,50,FALSE)=0,0,HLOOKUP("KP",A1:CV300,50,FALSE)/HLOOKUP("Mins",A1:CV300,50,FALSE)* 90)</f>
      </c>
      <c r="BK50" s="19097">
        <f>IF(HLOOKUP("Mins",A1:CV300,50,FALSE)=0,0,HLOOKUP("BC",A1:CV300,50,FALSE)/HLOOKUP("Mins",A1:CV300,50,FALSE)* 90)</f>
      </c>
      <c r="BL50" s="19098">
        <f>IF(HLOOKUP("Mins",A1:CV300,50,FALSE)=0,0,HLOOKUP("BC Miss",A1:CV300,50,FALSE)/HLOOKUP("Mins",A1:CV300,50,FALSE)* 90)</f>
      </c>
      <c r="BM50" s="19099">
        <f>IF(HLOOKUP("Mins",A1:CV300,50,FALSE)=0,0,HLOOKUP("Gs - BC",A1:CV300,50,FALSE)/HLOOKUP("Mins",A1:CV300,50,FALSE)* 90)</f>
      </c>
      <c r="BN50" s="19100">
        <f>IF(HLOOKUP("Mins",A1:CV300,50,FALSE)=0,0,HLOOKUP("GIB",A1:CV300,50,FALSE)/HLOOKUP("Mins",A1:CV300,50,FALSE)* 90)</f>
      </c>
      <c r="BO50" s="19101">
        <f>IF(HLOOKUP("Mins",A1:CV300,50,FALSE)=0,0,HLOOKUP("Gs - Open",A1:CV300,50,FALSE)/HLOOKUP("Mins",A1:CV300,50,FALSE)* 90)</f>
      </c>
      <c r="BP50" s="19102">
        <f>IF(HLOOKUP("Mins",A1:CV300,50,FALSE)=0,0,HLOOKUP("ICT Index",A1:CV300,50,FALSE)/HLOOKUP("Mins",A1:CV300,50,FALSE)* 90)</f>
      </c>
      <c r="BQ50" s="19103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19104">
        <f>0.0885*HLOOKUP("KP/90",A1:CV300,50,FALSE)</f>
      </c>
      <c r="BS50" s="19105">
        <f>5*HLOOKUP("xG/90",A1:CV300,50,FALSE)+3*HLOOKUP("xA/90",A1:CV300,50,FALSE)</f>
      </c>
      <c r="BT50" s="19106">
        <f>HLOOKUP("xPts/90",A1:CV300,50,FALSE)-(5*0.75*(HLOOKUP("PK Gs",A1:CV300,50,FALSE)+HLOOKUP("PK Miss",A1:CV300,50,FALSE))*90/HLOOKUP("Mins",A1:CV300,50,FALSE))</f>
      </c>
      <c r="BU50" s="19107">
        <f>IF(HLOOKUP("Mins",A1:CV300,50,FALSE)=0,0,HLOOKUP("fsXG",A1:CV300,50,FALSE)/HLOOKUP("Mins",A1:CV300,50,FALSE)* 90)</f>
      </c>
      <c r="BV50" s="19108">
        <f>IF(HLOOKUP("Mins",A1:CV300,50,FALSE)=0,0,HLOOKUP("fsXA",A1:CV300,50,FALSE)/HLOOKUP("Mins",A1:CV300,50,FALSE)* 90)</f>
      </c>
      <c r="BW50" s="19109">
        <f>5*HLOOKUP("fsXG/90",A1:CV300,50,FALSE)+3*HLOOKUP("fsXA/90",A1:CV300,50,FALSE)</f>
      </c>
      <c r="BX50" t="n" s="19110">
        <v>0.15836472809314728</v>
      </c>
      <c r="BY50" t="n" s="19111">
        <v>0.5607471466064453</v>
      </c>
      <c r="BZ50" s="19112">
        <f>5*HLOOKUP("uXG/90",A1:CV300,50,FALSE)+3*HLOOKUP("uXA/90",A1:CV300,50,FALSE)</f>
      </c>
    </row>
    <row r="51">
      <c r="A51" t="s" s="19113">
        <v>342</v>
      </c>
      <c r="B51" t="s" s="19114">
        <v>114</v>
      </c>
      <c r="C51" t="n" s="19115">
        <v>6.400000095367432</v>
      </c>
      <c r="D51" t="n" s="19116">
        <v>219.0</v>
      </c>
      <c r="E51" t="n" s="19117">
        <v>3.0</v>
      </c>
      <c r="F51" t="n" s="19118">
        <v>42.0</v>
      </c>
      <c r="G51" t="n" s="19119">
        <v>0.0</v>
      </c>
      <c r="H51" t="n" s="19120">
        <v>5.0</v>
      </c>
      <c r="I51" t="n" s="19121">
        <v>140.0</v>
      </c>
      <c r="J51" s="19122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19123">
        <v>0.0</v>
      </c>
      <c r="L51" t="n" s="19124">
        <v>6.0</v>
      </c>
      <c r="M51" t="n" s="19125">
        <v>7.0</v>
      </c>
      <c r="N51" t="n" s="19126">
        <v>3.0</v>
      </c>
      <c r="O51" t="n" s="19127">
        <v>0.0</v>
      </c>
      <c r="P51" s="19128">
        <f>IF(HLOOKUP("Shots",A1:CV300,51,FALSE)=0,0,HLOOKUP("SIB",A1:CV300,51,FALSE)/HLOOKUP("Shots",A1:CV300,51,FALSE))</f>
      </c>
      <c r="Q51" t="n" s="19129">
        <v>0.0</v>
      </c>
      <c r="R51" s="19130">
        <f>IF(HLOOKUP("Shots",A1:CV300,51,FALSE)=0,0,HLOOKUP("S6YD",A1:CV300,51,FALSE)/HLOOKUP("Shots",A1:CV300,51,FALSE))</f>
      </c>
      <c r="S51" t="n" s="19131">
        <v>0.0</v>
      </c>
      <c r="T51" s="19132">
        <f>IF(HLOOKUP("Shots",A1:CV300,51,FALSE)=0,0,HLOOKUP("Headers",A1:CV300,51,FALSE)/HLOOKUP("Shots",A1:CV300,51,FALSE))</f>
      </c>
      <c r="U51" t="n" s="19133">
        <v>0.0</v>
      </c>
      <c r="V51" s="19134">
        <f>IF(HLOOKUP("Shots",A1:CV300,51,FALSE)=0,0,HLOOKUP("SOT",A1:CV300,51,FALSE)/HLOOKUP("Shots",A1:CV300,51,FALSE))</f>
      </c>
      <c r="W51" s="19135">
        <f>IF(HLOOKUP("Shots",A1:CV300,51,FALSE)=0,0,HLOOKUP("Gs",A1:CV300,51,FALSE)/HLOOKUP("Shots",A1:CV300,51,FALSE))</f>
      </c>
      <c r="X51" t="n" s="19136">
        <v>0.0</v>
      </c>
      <c r="Y51" t="n" s="19137">
        <v>1.0</v>
      </c>
      <c r="Z51" t="n" s="19138">
        <v>8.0</v>
      </c>
      <c r="AA51" s="19139">
        <f>IF(HLOOKUP("KP",A1:CV300,51,FALSE)=0,0,HLOOKUP("As",A1:CV300,51,FALSE)/HLOOKUP("KP",A1:CV300,51,FALSE))</f>
      </c>
      <c r="AB51" s="19140"/>
      <c r="AC51" t="n" s="19141">
        <v>0.0</v>
      </c>
      <c r="AD51" t="n" s="19142">
        <v>1.0</v>
      </c>
      <c r="AE51" t="n" s="19143">
        <v>0.0</v>
      </c>
      <c r="AF51" t="n" s="19144">
        <v>0.0</v>
      </c>
      <c r="AG51" s="19145">
        <f>IF(HLOOKUP("BC",A1:CV300,51,FALSE)=0,0,HLOOKUP("Gs - BC",A1:CV300,51,FALSE)/HLOOKUP("BC",A1:CV300,51,FALSE))</f>
      </c>
      <c r="AH51" s="19146">
        <f>HLOOKUP("BC",A1:CV300,51,FALSE) - HLOOKUP("BC Miss",A1:CV300,51,FALSE)</f>
      </c>
      <c r="AI51" s="19147">
        <f>IF(HLOOKUP("Gs",A1:CV300,51,FALSE)=0,0,HLOOKUP("Gs - BC",A1:CV300,51,FALSE)/HLOOKUP("Gs",A1:CV300,51,FALSE))</f>
      </c>
      <c r="AJ51" t="n" s="19148">
        <v>0.0</v>
      </c>
      <c r="AK51" t="n" s="19149">
        <v>0.0</v>
      </c>
      <c r="AL51" s="19150">
        <f>HLOOKUP("BC",A1:CV300,51,FALSE) - (HLOOKUP("PK Gs",A1:CV300,51,FALSE) + HLOOKUP("PK Miss",A1:CV300,51,FALSE))</f>
      </c>
      <c r="AM51" s="19151">
        <f>HLOOKUP("BC Miss",A1:CV300,51,FALSE) - HLOOKUP("PK Miss",A1:CV300,51,FALSE)</f>
      </c>
      <c r="AN51" s="19152">
        <f>IF(HLOOKUP("BC - Open",A1:CV300,51,FALSE)=0,0,HLOOKUP("BC - Open Miss",A1:CV300,51,FALSE)/HLOOKUP("BC - Open",A1:CV300,51,FALSE))</f>
      </c>
      <c r="AO51" t="n" s="19153">
        <v>0.0</v>
      </c>
      <c r="AP51" s="19154">
        <f>IF(HLOOKUP("Gs",A1:CV300,51,FALSE)=0,0,HLOOKUP("GIB",A1:CV300,51,FALSE)/HLOOKUP("Gs",A1:CV300,51,FALSE))</f>
      </c>
      <c r="AQ51" t="n" s="19155">
        <v>0.0</v>
      </c>
      <c r="AR51" s="19156">
        <f>IF(HLOOKUP("Gs",A1:CV300,51,FALSE)=0,0,HLOOKUP("Gs - Open",A1:CV300,51,FALSE)/HLOOKUP("Gs",A1:CV300,51,FALSE))</f>
      </c>
      <c r="AS51" t="n" s="19157">
        <v>0.13</v>
      </c>
      <c r="AT51" t="n" s="19158">
        <v>0.57</v>
      </c>
      <c r="AU51" s="19159">
        <f>IF(HLOOKUP("Mins",A1:CV300,51,FALSE)=0,0,HLOOKUP("Pts",A1:CV300,51,FALSE)/HLOOKUP("Mins",A1:CV300,51,FALSE)* 90)</f>
      </c>
      <c r="AV51" s="19160">
        <f>IF(HLOOKUP("Apps",A1:CV300,51,FALSE)=0,0,HLOOKUP("Pts",A1:CV300,51,FALSE)/HLOOKUP("Apps",A1:CV300,51,FALSE)* 1)</f>
      </c>
      <c r="AW51" s="19161">
        <f>IF(HLOOKUP("Mins",A1:CV300,51,FALSE)=0,0,HLOOKUP("Gs",A1:CV300,51,FALSE)/HLOOKUP("Mins",A1:CV300,51,FALSE)* 90)</f>
      </c>
      <c r="AX51" s="19162">
        <f>IF(HLOOKUP("Mins",A1:CV300,51,FALSE)=0,0,HLOOKUP("Bonus",A1:CV300,51,FALSE)/HLOOKUP("Mins",A1:CV300,51,FALSE)* 90)</f>
      </c>
      <c r="AY51" s="19163">
        <f>IF(HLOOKUP("Mins",A1:CV300,51,FALSE)=0,0,HLOOKUP("BPS",A1:CV300,51,FALSE)/HLOOKUP("Mins",A1:CV300,51,FALSE)* 90)</f>
      </c>
      <c r="AZ51" s="19164">
        <f>IF(HLOOKUP("Mins",A1:CV300,51,FALSE)=0,0,HLOOKUP("Base BPS",A1:CV300,51,FALSE)/HLOOKUP("Mins",A1:CV300,51,FALSE)* 90)</f>
      </c>
      <c r="BA51" s="19165">
        <f>IF(HLOOKUP("Mins",A1:CV300,51,FALSE)=0,0,HLOOKUP("PenTchs",A1:CV300,51,FALSE)/HLOOKUP("Mins",A1:CV300,51,FALSE)* 90)</f>
      </c>
      <c r="BB51" s="19166">
        <f>IF(HLOOKUP("Mins",A1:CV300,51,FALSE)=0,0,HLOOKUP("Shots",A1:CV300,51,FALSE)/HLOOKUP("Mins",A1:CV300,51,FALSE)* 90)</f>
      </c>
      <c r="BC51" s="19167">
        <f>IF(HLOOKUP("Mins",A1:CV300,51,FALSE)=0,0,HLOOKUP("SIB",A1:CV300,51,FALSE)/HLOOKUP("Mins",A1:CV300,51,FALSE)* 90)</f>
      </c>
      <c r="BD51" s="19168">
        <f>IF(HLOOKUP("Mins",A1:CV300,51,FALSE)=0,0,HLOOKUP("S6YD",A1:CV300,51,FALSE)/HLOOKUP("Mins",A1:CV300,51,FALSE)* 90)</f>
      </c>
      <c r="BE51" s="19169">
        <f>IF(HLOOKUP("Mins",A1:CV300,51,FALSE)=0,0,HLOOKUP("Headers",A1:CV300,51,FALSE)/HLOOKUP("Mins",A1:CV300,51,FALSE)* 90)</f>
      </c>
      <c r="BF51" s="19170">
        <f>IF(HLOOKUP("Mins",A1:CV300,51,FALSE)=0,0,HLOOKUP("SOT",A1:CV300,51,FALSE)/HLOOKUP("Mins",A1:CV300,51,FALSE)* 90)</f>
      </c>
      <c r="BG51" s="19171">
        <f>IF(HLOOKUP("Mins",A1:CV300,51,FALSE)=0,0,HLOOKUP("As",A1:CV300,51,FALSE)/HLOOKUP("Mins",A1:CV300,51,FALSE)* 90)</f>
      </c>
      <c r="BH51" s="19172">
        <f>IF(HLOOKUP("Mins",A1:CV300,51,FALSE)=0,0,HLOOKUP("FPL As",A1:CV300,51,FALSE)/HLOOKUP("Mins",A1:CV300,51,FALSE)* 90)</f>
      </c>
      <c r="BI51" s="19173">
        <f>IF(HLOOKUP("Mins",A1:CV300,51,FALSE)=0,0,HLOOKUP("BC Created",A1:CV300,51,FALSE)/HLOOKUP("Mins",A1:CV300,51,FALSE)* 90)</f>
      </c>
      <c r="BJ51" s="19174">
        <f>IF(HLOOKUP("Mins",A1:CV300,51,FALSE)=0,0,HLOOKUP("KP",A1:CV300,51,FALSE)/HLOOKUP("Mins",A1:CV300,51,FALSE)* 90)</f>
      </c>
      <c r="BK51" s="19175">
        <f>IF(HLOOKUP("Mins",A1:CV300,51,FALSE)=0,0,HLOOKUP("BC",A1:CV300,51,FALSE)/HLOOKUP("Mins",A1:CV300,51,FALSE)* 90)</f>
      </c>
      <c r="BL51" s="19176">
        <f>IF(HLOOKUP("Mins",A1:CV300,51,FALSE)=0,0,HLOOKUP("BC Miss",A1:CV300,51,FALSE)/HLOOKUP("Mins",A1:CV300,51,FALSE)* 90)</f>
      </c>
      <c r="BM51" s="19177">
        <f>IF(HLOOKUP("Mins",A1:CV300,51,FALSE)=0,0,HLOOKUP("Gs - BC",A1:CV300,51,FALSE)/HLOOKUP("Mins",A1:CV300,51,FALSE)* 90)</f>
      </c>
      <c r="BN51" s="19178">
        <f>IF(HLOOKUP("Mins",A1:CV300,51,FALSE)=0,0,HLOOKUP("GIB",A1:CV300,51,FALSE)/HLOOKUP("Mins",A1:CV300,51,FALSE)* 90)</f>
      </c>
      <c r="BO51" s="19179">
        <f>IF(HLOOKUP("Mins",A1:CV300,51,FALSE)=0,0,HLOOKUP("Gs - Open",A1:CV300,51,FALSE)/HLOOKUP("Mins",A1:CV300,51,FALSE)* 90)</f>
      </c>
      <c r="BP51" s="19180">
        <f>IF(HLOOKUP("Mins",A1:CV300,51,FALSE)=0,0,HLOOKUP("ICT Index",A1:CV300,51,FALSE)/HLOOKUP("Mins",A1:CV300,51,FALSE)* 90)</f>
      </c>
      <c r="BQ51" s="19181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19182">
        <f>0.0885*HLOOKUP("KP/90",A1:CV300,51,FALSE)</f>
      </c>
      <c r="BS51" s="19183">
        <f>5*HLOOKUP("xG/90",A1:CV300,51,FALSE)+3*HLOOKUP("xA/90",A1:CV300,51,FALSE)</f>
      </c>
      <c r="BT51" s="19184">
        <f>HLOOKUP("xPts/90",A1:CV300,51,FALSE)-(5*0.75*(HLOOKUP("PK Gs",A1:CV300,51,FALSE)+HLOOKUP("PK Miss",A1:CV300,51,FALSE))*90/HLOOKUP("Mins",A1:CV300,51,FALSE))</f>
      </c>
      <c r="BU51" s="19185">
        <f>IF(HLOOKUP("Mins",A1:CV300,51,FALSE)=0,0,HLOOKUP("fsXG",A1:CV300,51,FALSE)/HLOOKUP("Mins",A1:CV300,51,FALSE)* 90)</f>
      </c>
      <c r="BV51" s="19186">
        <f>IF(HLOOKUP("Mins",A1:CV300,51,FALSE)=0,0,HLOOKUP("fsXA",A1:CV300,51,FALSE)/HLOOKUP("Mins",A1:CV300,51,FALSE)* 90)</f>
      </c>
      <c r="BW51" s="19187">
        <f>5*HLOOKUP("fsXG/90",A1:CV300,51,FALSE)+3*HLOOKUP("fsXA/90",A1:CV300,51,FALSE)</f>
      </c>
      <c r="BX51" t="n" s="19188">
        <v>0.06986500322818756</v>
      </c>
      <c r="BY51" t="n" s="19189">
        <v>0.1960030049085617</v>
      </c>
      <c r="BZ51" s="19190">
        <f>5*HLOOKUP("uXG/90",A1:CV300,51,FALSE)+3*HLOOKUP("uXA/90",A1:CV300,51,FALSE)</f>
      </c>
    </row>
    <row r="52">
      <c r="A52" t="s" s="19191">
        <v>343</v>
      </c>
      <c r="B52" t="s" s="19192">
        <v>82</v>
      </c>
      <c r="C52" t="n" s="19193">
        <v>5.199999809265137</v>
      </c>
      <c r="D52" t="n" s="19194">
        <v>148.0</v>
      </c>
      <c r="E52" t="n" s="19195">
        <v>3.0</v>
      </c>
      <c r="F52" t="n" s="19196">
        <v>15.0</v>
      </c>
      <c r="G52" t="n" s="19197">
        <v>0.0</v>
      </c>
      <c r="H52" t="n" s="19198">
        <v>0.0</v>
      </c>
      <c r="I52" t="n" s="19199">
        <v>76.0</v>
      </c>
      <c r="J52" s="19200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19201">
        <v>0.0</v>
      </c>
      <c r="L52" t="n" s="19202">
        <v>0.0</v>
      </c>
      <c r="M52" t="n" s="19203">
        <v>1.0</v>
      </c>
      <c r="N52" t="n" s="19204">
        <v>1.0</v>
      </c>
      <c r="O52" t="n" s="19205">
        <v>1.0</v>
      </c>
      <c r="P52" s="19206">
        <f>IF(HLOOKUP("Shots",A1:CV300,52,FALSE)=0,0,HLOOKUP("SIB",A1:CV300,52,FALSE)/HLOOKUP("Shots",A1:CV300,52,FALSE))</f>
      </c>
      <c r="Q52" t="n" s="19207">
        <v>0.0</v>
      </c>
      <c r="R52" s="19208">
        <f>IF(HLOOKUP("Shots",A1:CV300,52,FALSE)=0,0,HLOOKUP("S6YD",A1:CV300,52,FALSE)/HLOOKUP("Shots",A1:CV300,52,FALSE))</f>
      </c>
      <c r="S52" t="n" s="19209">
        <v>0.0</v>
      </c>
      <c r="T52" s="19210">
        <f>IF(HLOOKUP("Shots",A1:CV300,52,FALSE)=0,0,HLOOKUP("Headers",A1:CV300,52,FALSE)/HLOOKUP("Shots",A1:CV300,52,FALSE))</f>
      </c>
      <c r="U52" t="n" s="19211">
        <v>1.0</v>
      </c>
      <c r="V52" s="19212">
        <f>IF(HLOOKUP("Shots",A1:CV300,52,FALSE)=0,0,HLOOKUP("SOT",A1:CV300,52,FALSE)/HLOOKUP("Shots",A1:CV300,52,FALSE))</f>
      </c>
      <c r="W52" s="19213">
        <f>IF(HLOOKUP("Shots",A1:CV300,52,FALSE)=0,0,HLOOKUP("Gs",A1:CV300,52,FALSE)/HLOOKUP("Shots",A1:CV300,52,FALSE))</f>
      </c>
      <c r="X52" t="n" s="19214">
        <v>0.0</v>
      </c>
      <c r="Y52" t="n" s="19215">
        <v>1.0</v>
      </c>
      <c r="Z52" t="n" s="19216">
        <v>1.0</v>
      </c>
      <c r="AA52" s="19217">
        <f>IF(HLOOKUP("KP",A1:CV300,52,FALSE)=0,0,HLOOKUP("As",A1:CV300,52,FALSE)/HLOOKUP("KP",A1:CV300,52,FALSE))</f>
      </c>
      <c r="AB52" s="19218"/>
      <c r="AC52" t="n" s="19219">
        <v>0.0</v>
      </c>
      <c r="AD52" t="n" s="19220">
        <v>0.0</v>
      </c>
      <c r="AE52" t="n" s="19221">
        <v>0.0</v>
      </c>
      <c r="AF52" t="n" s="19222">
        <v>0.0</v>
      </c>
      <c r="AG52" s="19223">
        <f>IF(HLOOKUP("BC",A1:CV300,52,FALSE)=0,0,HLOOKUP("Gs - BC",A1:CV300,52,FALSE)/HLOOKUP("BC",A1:CV300,52,FALSE))</f>
      </c>
      <c r="AH52" s="19224">
        <f>HLOOKUP("BC",A1:CV300,52,FALSE) - HLOOKUP("BC Miss",A1:CV300,52,FALSE)</f>
      </c>
      <c r="AI52" s="19225">
        <f>IF(HLOOKUP("Gs",A1:CV300,52,FALSE)=0,0,HLOOKUP("Gs - BC",A1:CV300,52,FALSE)/HLOOKUP("Gs",A1:CV300,52,FALSE))</f>
      </c>
      <c r="AJ52" t="n" s="19226">
        <v>0.0</v>
      </c>
      <c r="AK52" t="n" s="19227">
        <v>0.0</v>
      </c>
      <c r="AL52" s="19228">
        <f>HLOOKUP("BC",A1:CV300,52,FALSE) - (HLOOKUP("PK Gs",A1:CV300,52,FALSE) + HLOOKUP("PK Miss",A1:CV300,52,FALSE))</f>
      </c>
      <c r="AM52" s="19229">
        <f>HLOOKUP("BC Miss",A1:CV300,52,FALSE) - HLOOKUP("PK Miss",A1:CV300,52,FALSE)</f>
      </c>
      <c r="AN52" s="19230">
        <f>IF(HLOOKUP("BC - Open",A1:CV300,52,FALSE)=0,0,HLOOKUP("BC - Open Miss",A1:CV300,52,FALSE)/HLOOKUP("BC - Open",A1:CV300,52,FALSE))</f>
      </c>
      <c r="AO52" t="n" s="19231">
        <v>0.0</v>
      </c>
      <c r="AP52" s="19232">
        <f>IF(HLOOKUP("Gs",A1:CV300,52,FALSE)=0,0,HLOOKUP("GIB",A1:CV300,52,FALSE)/HLOOKUP("Gs",A1:CV300,52,FALSE))</f>
      </c>
      <c r="AQ52" t="n" s="19233">
        <v>0.0</v>
      </c>
      <c r="AR52" s="19234">
        <f>IF(HLOOKUP("Gs",A1:CV300,52,FALSE)=0,0,HLOOKUP("Gs - Open",A1:CV300,52,FALSE)/HLOOKUP("Gs",A1:CV300,52,FALSE))</f>
      </c>
      <c r="AS52" t="n" s="19235">
        <v>0.06</v>
      </c>
      <c r="AT52" t="n" s="19236">
        <v>0.06</v>
      </c>
      <c r="AU52" s="19237">
        <f>IF(HLOOKUP("Mins",A1:CV300,52,FALSE)=0,0,HLOOKUP("Pts",A1:CV300,52,FALSE)/HLOOKUP("Mins",A1:CV300,52,FALSE)* 90)</f>
      </c>
      <c r="AV52" s="19238">
        <f>IF(HLOOKUP("Apps",A1:CV300,52,FALSE)=0,0,HLOOKUP("Pts",A1:CV300,52,FALSE)/HLOOKUP("Apps",A1:CV300,52,FALSE)* 1)</f>
      </c>
      <c r="AW52" s="19239">
        <f>IF(HLOOKUP("Mins",A1:CV300,52,FALSE)=0,0,HLOOKUP("Gs",A1:CV300,52,FALSE)/HLOOKUP("Mins",A1:CV300,52,FALSE)* 90)</f>
      </c>
      <c r="AX52" s="19240">
        <f>IF(HLOOKUP("Mins",A1:CV300,52,FALSE)=0,0,HLOOKUP("Bonus",A1:CV300,52,FALSE)/HLOOKUP("Mins",A1:CV300,52,FALSE)* 90)</f>
      </c>
      <c r="AY52" s="19241">
        <f>IF(HLOOKUP("Mins",A1:CV300,52,FALSE)=0,0,HLOOKUP("BPS",A1:CV300,52,FALSE)/HLOOKUP("Mins",A1:CV300,52,FALSE)* 90)</f>
      </c>
      <c r="AZ52" s="19242">
        <f>IF(HLOOKUP("Mins",A1:CV300,52,FALSE)=0,0,HLOOKUP("Base BPS",A1:CV300,52,FALSE)/HLOOKUP("Mins",A1:CV300,52,FALSE)* 90)</f>
      </c>
      <c r="BA52" s="19243">
        <f>IF(HLOOKUP("Mins",A1:CV300,52,FALSE)=0,0,HLOOKUP("PenTchs",A1:CV300,52,FALSE)/HLOOKUP("Mins",A1:CV300,52,FALSE)* 90)</f>
      </c>
      <c r="BB52" s="19244">
        <f>IF(HLOOKUP("Mins",A1:CV300,52,FALSE)=0,0,HLOOKUP("Shots",A1:CV300,52,FALSE)/HLOOKUP("Mins",A1:CV300,52,FALSE)* 90)</f>
      </c>
      <c r="BC52" s="19245">
        <f>IF(HLOOKUP("Mins",A1:CV300,52,FALSE)=0,0,HLOOKUP("SIB",A1:CV300,52,FALSE)/HLOOKUP("Mins",A1:CV300,52,FALSE)* 90)</f>
      </c>
      <c r="BD52" s="19246">
        <f>IF(HLOOKUP("Mins",A1:CV300,52,FALSE)=0,0,HLOOKUP("S6YD",A1:CV300,52,FALSE)/HLOOKUP("Mins",A1:CV300,52,FALSE)* 90)</f>
      </c>
      <c r="BE52" s="19247">
        <f>IF(HLOOKUP("Mins",A1:CV300,52,FALSE)=0,0,HLOOKUP("Headers",A1:CV300,52,FALSE)/HLOOKUP("Mins",A1:CV300,52,FALSE)* 90)</f>
      </c>
      <c r="BF52" s="19248">
        <f>IF(HLOOKUP("Mins",A1:CV300,52,FALSE)=0,0,HLOOKUP("SOT",A1:CV300,52,FALSE)/HLOOKUP("Mins",A1:CV300,52,FALSE)* 90)</f>
      </c>
      <c r="BG52" s="19249">
        <f>IF(HLOOKUP("Mins",A1:CV300,52,FALSE)=0,0,HLOOKUP("As",A1:CV300,52,FALSE)/HLOOKUP("Mins",A1:CV300,52,FALSE)* 90)</f>
      </c>
      <c r="BH52" s="19250">
        <f>IF(HLOOKUP("Mins",A1:CV300,52,FALSE)=0,0,HLOOKUP("FPL As",A1:CV300,52,FALSE)/HLOOKUP("Mins",A1:CV300,52,FALSE)* 90)</f>
      </c>
      <c r="BI52" s="19251">
        <f>IF(HLOOKUP("Mins",A1:CV300,52,FALSE)=0,0,HLOOKUP("BC Created",A1:CV300,52,FALSE)/HLOOKUP("Mins",A1:CV300,52,FALSE)* 90)</f>
      </c>
      <c r="BJ52" s="19252">
        <f>IF(HLOOKUP("Mins",A1:CV300,52,FALSE)=0,0,HLOOKUP("KP",A1:CV300,52,FALSE)/HLOOKUP("Mins",A1:CV300,52,FALSE)* 90)</f>
      </c>
      <c r="BK52" s="19253">
        <f>IF(HLOOKUP("Mins",A1:CV300,52,FALSE)=0,0,HLOOKUP("BC",A1:CV300,52,FALSE)/HLOOKUP("Mins",A1:CV300,52,FALSE)* 90)</f>
      </c>
      <c r="BL52" s="19254">
        <f>IF(HLOOKUP("Mins",A1:CV300,52,FALSE)=0,0,HLOOKUP("BC Miss",A1:CV300,52,FALSE)/HLOOKUP("Mins",A1:CV300,52,FALSE)* 90)</f>
      </c>
      <c r="BM52" s="19255">
        <f>IF(HLOOKUP("Mins",A1:CV300,52,FALSE)=0,0,HLOOKUP("Gs - BC",A1:CV300,52,FALSE)/HLOOKUP("Mins",A1:CV300,52,FALSE)* 90)</f>
      </c>
      <c r="BN52" s="19256">
        <f>IF(HLOOKUP("Mins",A1:CV300,52,FALSE)=0,0,HLOOKUP("GIB",A1:CV300,52,FALSE)/HLOOKUP("Mins",A1:CV300,52,FALSE)* 90)</f>
      </c>
      <c r="BO52" s="19257">
        <f>IF(HLOOKUP("Mins",A1:CV300,52,FALSE)=0,0,HLOOKUP("Gs - Open",A1:CV300,52,FALSE)/HLOOKUP("Mins",A1:CV300,52,FALSE)* 90)</f>
      </c>
      <c r="BP52" s="19258">
        <f>IF(HLOOKUP("Mins",A1:CV300,52,FALSE)=0,0,HLOOKUP("ICT Index",A1:CV300,52,FALSE)/HLOOKUP("Mins",A1:CV300,52,FALSE)* 90)</f>
      </c>
      <c r="BQ52" s="19259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19260">
        <f>0.0885*HLOOKUP("KP/90",A1:CV300,52,FALSE)</f>
      </c>
      <c r="BS52" s="19261">
        <f>5*HLOOKUP("xG/90",A1:CV300,52,FALSE)+3*HLOOKUP("xA/90",A1:CV300,52,FALSE)</f>
      </c>
      <c r="BT52" s="19262">
        <f>HLOOKUP("xPts/90",A1:CV300,52,FALSE)-(5*0.75*(HLOOKUP("PK Gs",A1:CV300,52,FALSE)+HLOOKUP("PK Miss",A1:CV300,52,FALSE))*90/HLOOKUP("Mins",A1:CV300,52,FALSE))</f>
      </c>
      <c r="BU52" s="19263">
        <f>IF(HLOOKUP("Mins",A1:CV300,52,FALSE)=0,0,HLOOKUP("fsXG",A1:CV300,52,FALSE)/HLOOKUP("Mins",A1:CV300,52,FALSE)* 90)</f>
      </c>
      <c r="BV52" s="19264">
        <f>IF(HLOOKUP("Mins",A1:CV300,52,FALSE)=0,0,HLOOKUP("fsXA",A1:CV300,52,FALSE)/HLOOKUP("Mins",A1:CV300,52,FALSE)* 90)</f>
      </c>
      <c r="BW52" s="19265">
        <f>5*HLOOKUP("fsXG/90",A1:CV300,52,FALSE)+3*HLOOKUP("fsXA/90",A1:CV300,52,FALSE)</f>
      </c>
      <c r="BX52" t="n" s="19266">
        <v>0.043164148926734924</v>
      </c>
      <c r="BY52" t="n" s="19267">
        <v>0.009796489030122757</v>
      </c>
      <c r="BZ52" s="19268">
        <f>5*HLOOKUP("uXG/90",A1:CV300,52,FALSE)+3*HLOOKUP("uXA/90",A1:CV300,52,FALSE)</f>
      </c>
    </row>
    <row r="53">
      <c r="A53" t="s" s="19269">
        <v>344</v>
      </c>
      <c r="B53" t="s" s="19270">
        <v>109</v>
      </c>
      <c r="C53" t="n" s="19271">
        <v>4.400000095367432</v>
      </c>
      <c r="D53" t="n" s="19272">
        <v>258.0</v>
      </c>
      <c r="E53" t="n" s="19273">
        <v>4.0</v>
      </c>
      <c r="F53" t="n" s="19274">
        <v>42.0</v>
      </c>
      <c r="G53" t="n" s="19275">
        <v>0.0</v>
      </c>
      <c r="H53" t="n" s="19276">
        <v>1.0</v>
      </c>
      <c r="I53" t="n" s="19277">
        <v>278.0</v>
      </c>
      <c r="J53" s="19278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19279">
        <v>0.0</v>
      </c>
      <c r="L53" t="n" s="19280">
        <v>4.0</v>
      </c>
      <c r="M53" t="n" s="19281">
        <v>0.0</v>
      </c>
      <c r="N53" t="n" s="19282">
        <v>2.0</v>
      </c>
      <c r="O53" t="n" s="19283">
        <v>0.0</v>
      </c>
      <c r="P53" s="19284">
        <f>IF(HLOOKUP("Shots",A1:CV300,53,FALSE)=0,0,HLOOKUP("SIB",A1:CV300,53,FALSE)/HLOOKUP("Shots",A1:CV300,53,FALSE))</f>
      </c>
      <c r="Q53" t="n" s="19285">
        <v>0.0</v>
      </c>
      <c r="R53" s="19286">
        <f>IF(HLOOKUP("Shots",A1:CV300,53,FALSE)=0,0,HLOOKUP("S6YD",A1:CV300,53,FALSE)/HLOOKUP("Shots",A1:CV300,53,FALSE))</f>
      </c>
      <c r="S53" t="n" s="19287">
        <v>0.0</v>
      </c>
      <c r="T53" s="19288">
        <f>IF(HLOOKUP("Shots",A1:CV300,53,FALSE)=0,0,HLOOKUP("Headers",A1:CV300,53,FALSE)/HLOOKUP("Shots",A1:CV300,53,FALSE))</f>
      </c>
      <c r="U53" t="n" s="19289">
        <v>0.0</v>
      </c>
      <c r="V53" s="19290">
        <f>IF(HLOOKUP("Shots",A1:CV300,53,FALSE)=0,0,HLOOKUP("SOT",A1:CV300,53,FALSE)/HLOOKUP("Shots",A1:CV300,53,FALSE))</f>
      </c>
      <c r="W53" s="19291">
        <f>IF(HLOOKUP("Shots",A1:CV300,53,FALSE)=0,0,HLOOKUP("Gs",A1:CV300,53,FALSE)/HLOOKUP("Shots",A1:CV300,53,FALSE))</f>
      </c>
      <c r="X53" t="n" s="19292">
        <v>0.0</v>
      </c>
      <c r="Y53" t="n" s="19293">
        <v>1.0</v>
      </c>
      <c r="Z53" t="n" s="19294">
        <v>2.0</v>
      </c>
      <c r="AA53" s="19295">
        <f>IF(HLOOKUP("KP",A1:CV300,53,FALSE)=0,0,HLOOKUP("As",A1:CV300,53,FALSE)/HLOOKUP("KP",A1:CV300,53,FALSE))</f>
      </c>
      <c r="AB53" s="19296"/>
      <c r="AC53" t="n" s="19297">
        <v>0.0</v>
      </c>
      <c r="AD53" t="n" s="19298">
        <v>0.0</v>
      </c>
      <c r="AE53" t="n" s="19299">
        <v>0.0</v>
      </c>
      <c r="AF53" t="n" s="19300">
        <v>0.0</v>
      </c>
      <c r="AG53" s="19301">
        <f>IF(HLOOKUP("BC",A1:CV300,53,FALSE)=0,0,HLOOKUP("Gs - BC",A1:CV300,53,FALSE)/HLOOKUP("BC",A1:CV300,53,FALSE))</f>
      </c>
      <c r="AH53" s="19302">
        <f>HLOOKUP("BC",A1:CV300,53,FALSE) - HLOOKUP("BC Miss",A1:CV300,53,FALSE)</f>
      </c>
      <c r="AI53" s="19303">
        <f>IF(HLOOKUP("Gs",A1:CV300,53,FALSE)=0,0,HLOOKUP("Gs - BC",A1:CV300,53,FALSE)/HLOOKUP("Gs",A1:CV300,53,FALSE))</f>
      </c>
      <c r="AJ53" t="n" s="19304">
        <v>0.0</v>
      </c>
      <c r="AK53" t="n" s="19305">
        <v>0.0</v>
      </c>
      <c r="AL53" s="19306">
        <f>HLOOKUP("BC",A1:CV300,53,FALSE) - (HLOOKUP("PK Gs",A1:CV300,53,FALSE) + HLOOKUP("PK Miss",A1:CV300,53,FALSE))</f>
      </c>
      <c r="AM53" s="19307">
        <f>HLOOKUP("BC Miss",A1:CV300,53,FALSE) - HLOOKUP("PK Miss",A1:CV300,53,FALSE)</f>
      </c>
      <c r="AN53" s="19308">
        <f>IF(HLOOKUP("BC - Open",A1:CV300,53,FALSE)=0,0,HLOOKUP("BC - Open Miss",A1:CV300,53,FALSE)/HLOOKUP("BC - Open",A1:CV300,53,FALSE))</f>
      </c>
      <c r="AO53" t="n" s="19309">
        <v>0.0</v>
      </c>
      <c r="AP53" s="19310">
        <f>IF(HLOOKUP("Gs",A1:CV300,53,FALSE)=0,0,HLOOKUP("GIB",A1:CV300,53,FALSE)/HLOOKUP("Gs",A1:CV300,53,FALSE))</f>
      </c>
      <c r="AQ53" t="n" s="19311">
        <v>0.0</v>
      </c>
      <c r="AR53" s="19312">
        <f>IF(HLOOKUP("Gs",A1:CV300,53,FALSE)=0,0,HLOOKUP("Gs - Open",A1:CV300,53,FALSE)/HLOOKUP("Gs",A1:CV300,53,FALSE))</f>
      </c>
      <c r="AS53" t="n" s="19313">
        <v>0.05</v>
      </c>
      <c r="AT53" t="n" s="19314">
        <v>0.34</v>
      </c>
      <c r="AU53" s="19315">
        <f>IF(HLOOKUP("Mins",A1:CV300,53,FALSE)=0,0,HLOOKUP("Pts",A1:CV300,53,FALSE)/HLOOKUP("Mins",A1:CV300,53,FALSE)* 90)</f>
      </c>
      <c r="AV53" s="19316">
        <f>IF(HLOOKUP("Apps",A1:CV300,53,FALSE)=0,0,HLOOKUP("Pts",A1:CV300,53,FALSE)/HLOOKUP("Apps",A1:CV300,53,FALSE)* 1)</f>
      </c>
      <c r="AW53" s="19317">
        <f>IF(HLOOKUP("Mins",A1:CV300,53,FALSE)=0,0,HLOOKUP("Gs",A1:CV300,53,FALSE)/HLOOKUP("Mins",A1:CV300,53,FALSE)* 90)</f>
      </c>
      <c r="AX53" s="19318">
        <f>IF(HLOOKUP("Mins",A1:CV300,53,FALSE)=0,0,HLOOKUP("Bonus",A1:CV300,53,FALSE)/HLOOKUP("Mins",A1:CV300,53,FALSE)* 90)</f>
      </c>
      <c r="AY53" s="19319">
        <f>IF(HLOOKUP("Mins",A1:CV300,53,FALSE)=0,0,HLOOKUP("BPS",A1:CV300,53,FALSE)/HLOOKUP("Mins",A1:CV300,53,FALSE)* 90)</f>
      </c>
      <c r="AZ53" s="19320">
        <f>IF(HLOOKUP("Mins",A1:CV300,53,FALSE)=0,0,HLOOKUP("Base BPS",A1:CV300,53,FALSE)/HLOOKUP("Mins",A1:CV300,53,FALSE)* 90)</f>
      </c>
      <c r="BA53" s="19321">
        <f>IF(HLOOKUP("Mins",A1:CV300,53,FALSE)=0,0,HLOOKUP("PenTchs",A1:CV300,53,FALSE)/HLOOKUP("Mins",A1:CV300,53,FALSE)* 90)</f>
      </c>
      <c r="BB53" s="19322">
        <f>IF(HLOOKUP("Mins",A1:CV300,53,FALSE)=0,0,HLOOKUP("Shots",A1:CV300,53,FALSE)/HLOOKUP("Mins",A1:CV300,53,FALSE)* 90)</f>
      </c>
      <c r="BC53" s="19323">
        <f>IF(HLOOKUP("Mins",A1:CV300,53,FALSE)=0,0,HLOOKUP("SIB",A1:CV300,53,FALSE)/HLOOKUP("Mins",A1:CV300,53,FALSE)* 90)</f>
      </c>
      <c r="BD53" s="19324">
        <f>IF(HLOOKUP("Mins",A1:CV300,53,FALSE)=0,0,HLOOKUP("S6YD",A1:CV300,53,FALSE)/HLOOKUP("Mins",A1:CV300,53,FALSE)* 90)</f>
      </c>
      <c r="BE53" s="19325">
        <f>IF(HLOOKUP("Mins",A1:CV300,53,FALSE)=0,0,HLOOKUP("Headers",A1:CV300,53,FALSE)/HLOOKUP("Mins",A1:CV300,53,FALSE)* 90)</f>
      </c>
      <c r="BF53" s="19326">
        <f>IF(HLOOKUP("Mins",A1:CV300,53,FALSE)=0,0,HLOOKUP("SOT",A1:CV300,53,FALSE)/HLOOKUP("Mins",A1:CV300,53,FALSE)* 90)</f>
      </c>
      <c r="BG53" s="19327">
        <f>IF(HLOOKUP("Mins",A1:CV300,53,FALSE)=0,0,HLOOKUP("As",A1:CV300,53,FALSE)/HLOOKUP("Mins",A1:CV300,53,FALSE)* 90)</f>
      </c>
      <c r="BH53" s="19328">
        <f>IF(HLOOKUP("Mins",A1:CV300,53,FALSE)=0,0,HLOOKUP("FPL As",A1:CV300,53,FALSE)/HLOOKUP("Mins",A1:CV300,53,FALSE)* 90)</f>
      </c>
      <c r="BI53" s="19329">
        <f>IF(HLOOKUP("Mins",A1:CV300,53,FALSE)=0,0,HLOOKUP("BC Created",A1:CV300,53,FALSE)/HLOOKUP("Mins",A1:CV300,53,FALSE)* 90)</f>
      </c>
      <c r="BJ53" s="19330">
        <f>IF(HLOOKUP("Mins",A1:CV300,53,FALSE)=0,0,HLOOKUP("KP",A1:CV300,53,FALSE)/HLOOKUP("Mins",A1:CV300,53,FALSE)* 90)</f>
      </c>
      <c r="BK53" s="19331">
        <f>IF(HLOOKUP("Mins",A1:CV300,53,FALSE)=0,0,HLOOKUP("BC",A1:CV300,53,FALSE)/HLOOKUP("Mins",A1:CV300,53,FALSE)* 90)</f>
      </c>
      <c r="BL53" s="19332">
        <f>IF(HLOOKUP("Mins",A1:CV300,53,FALSE)=0,0,HLOOKUP("BC Miss",A1:CV300,53,FALSE)/HLOOKUP("Mins",A1:CV300,53,FALSE)* 90)</f>
      </c>
      <c r="BM53" s="19333">
        <f>IF(HLOOKUP("Mins",A1:CV300,53,FALSE)=0,0,HLOOKUP("Gs - BC",A1:CV300,53,FALSE)/HLOOKUP("Mins",A1:CV300,53,FALSE)* 90)</f>
      </c>
      <c r="BN53" s="19334">
        <f>IF(HLOOKUP("Mins",A1:CV300,53,FALSE)=0,0,HLOOKUP("GIB",A1:CV300,53,FALSE)/HLOOKUP("Mins",A1:CV300,53,FALSE)* 90)</f>
      </c>
      <c r="BO53" s="19335">
        <f>IF(HLOOKUP("Mins",A1:CV300,53,FALSE)=0,0,HLOOKUP("Gs - Open",A1:CV300,53,FALSE)/HLOOKUP("Mins",A1:CV300,53,FALSE)* 90)</f>
      </c>
      <c r="BP53" s="19336">
        <f>IF(HLOOKUP("Mins",A1:CV300,53,FALSE)=0,0,HLOOKUP("ICT Index",A1:CV300,53,FALSE)/HLOOKUP("Mins",A1:CV300,53,FALSE)* 90)</f>
      </c>
      <c r="BQ53" s="19337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19338">
        <f>0.0885*HLOOKUP("KP/90",A1:CV300,53,FALSE)</f>
      </c>
      <c r="BS53" s="19339">
        <f>5*HLOOKUP("xG/90",A1:CV300,53,FALSE)+3*HLOOKUP("xA/90",A1:CV300,53,FALSE)</f>
      </c>
      <c r="BT53" s="19340">
        <f>HLOOKUP("xPts/90",A1:CV300,53,FALSE)-(5*0.75*(HLOOKUP("PK Gs",A1:CV300,53,FALSE)+HLOOKUP("PK Miss",A1:CV300,53,FALSE))*90/HLOOKUP("Mins",A1:CV300,53,FALSE))</f>
      </c>
      <c r="BU53" s="19341">
        <f>IF(HLOOKUP("Mins",A1:CV300,53,FALSE)=0,0,HLOOKUP("fsXG",A1:CV300,53,FALSE)/HLOOKUP("Mins",A1:CV300,53,FALSE)* 90)</f>
      </c>
      <c r="BV53" s="19342">
        <f>IF(HLOOKUP("Mins",A1:CV300,53,FALSE)=0,0,HLOOKUP("fsXA",A1:CV300,53,FALSE)/HLOOKUP("Mins",A1:CV300,53,FALSE)* 90)</f>
      </c>
      <c r="BW53" s="19343">
        <f>5*HLOOKUP("fsXG/90",A1:CV300,53,FALSE)+3*HLOOKUP("fsXA/90",A1:CV300,53,FALSE)</f>
      </c>
      <c r="BX53" t="n" s="19344">
        <v>0.013602088205516338</v>
      </c>
      <c r="BY53" t="n" s="19345">
        <v>0.034650493413209915</v>
      </c>
      <c r="BZ53" s="19346">
        <f>5*HLOOKUP("uXG/90",A1:CV300,53,FALSE)+3*HLOOKUP("uXA/90",A1:CV300,53,FALSE)</f>
      </c>
    </row>
    <row r="54">
      <c r="A54" t="s" s="19347">
        <v>345</v>
      </c>
      <c r="B54" t="s" s="19348">
        <v>98</v>
      </c>
      <c r="C54" t="n" s="19349">
        <v>6.199999809265137</v>
      </c>
      <c r="D54" t="n" s="19350">
        <v>494.0</v>
      </c>
      <c r="E54" t="n" s="19351">
        <v>6.0</v>
      </c>
      <c r="F54" t="n" s="19352">
        <v>52.0</v>
      </c>
      <c r="G54" t="n" s="19353">
        <v>1.0</v>
      </c>
      <c r="H54" t="n" s="19354">
        <v>2.0</v>
      </c>
      <c r="I54" t="n" s="19355">
        <v>201.0</v>
      </c>
      <c r="J54" s="19356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19357">
        <v>0.0</v>
      </c>
      <c r="L54" t="n" s="19358">
        <v>3.0</v>
      </c>
      <c r="M54" t="n" s="19359">
        <v>19.0</v>
      </c>
      <c r="N54" t="n" s="19360">
        <v>6.0</v>
      </c>
      <c r="O54" t="n" s="19361">
        <v>6.0</v>
      </c>
      <c r="P54" s="19362">
        <f>IF(HLOOKUP("Shots",A1:CV300,54,FALSE)=0,0,HLOOKUP("SIB",A1:CV300,54,FALSE)/HLOOKUP("Shots",A1:CV300,54,FALSE))</f>
      </c>
      <c r="Q54" t="n" s="19363">
        <v>1.0</v>
      </c>
      <c r="R54" s="19364">
        <f>IF(HLOOKUP("Shots",A1:CV300,54,FALSE)=0,0,HLOOKUP("S6YD",A1:CV300,54,FALSE)/HLOOKUP("Shots",A1:CV300,54,FALSE))</f>
      </c>
      <c r="S54" t="n" s="19365">
        <v>0.0</v>
      </c>
      <c r="T54" s="19366">
        <f>IF(HLOOKUP("Shots",A1:CV300,54,FALSE)=0,0,HLOOKUP("Headers",A1:CV300,54,FALSE)/HLOOKUP("Shots",A1:CV300,54,FALSE))</f>
      </c>
      <c r="U54" t="n" s="19367">
        <v>3.0</v>
      </c>
      <c r="V54" s="19368">
        <f>IF(HLOOKUP("Shots",A1:CV300,54,FALSE)=0,0,HLOOKUP("SOT",A1:CV300,54,FALSE)/HLOOKUP("Shots",A1:CV300,54,FALSE))</f>
      </c>
      <c r="W54" s="19369">
        <f>IF(HLOOKUP("Shots",A1:CV300,54,FALSE)=0,0,HLOOKUP("Gs",A1:CV300,54,FALSE)/HLOOKUP("Shots",A1:CV300,54,FALSE))</f>
      </c>
      <c r="X54" t="n" s="19370">
        <v>0.0</v>
      </c>
      <c r="Y54" t="n" s="19371">
        <v>0.0</v>
      </c>
      <c r="Z54" t="n" s="19372">
        <v>8.0</v>
      </c>
      <c r="AA54" s="19373">
        <f>IF(HLOOKUP("KP",A1:CV300,54,FALSE)=0,0,HLOOKUP("As",A1:CV300,54,FALSE)/HLOOKUP("KP",A1:CV300,54,FALSE))</f>
      </c>
      <c r="AB54" s="19374"/>
      <c r="AC54" t="n" s="19375">
        <v>11.0</v>
      </c>
      <c r="AD54" t="n" s="19376">
        <v>1.0</v>
      </c>
      <c r="AE54" t="n" s="19377">
        <v>2.0</v>
      </c>
      <c r="AF54" t="n" s="19378">
        <v>1.0</v>
      </c>
      <c r="AG54" s="19379">
        <f>IF(HLOOKUP("BC",A1:CV300,54,FALSE)=0,0,HLOOKUP("Gs - BC",A1:CV300,54,FALSE)/HLOOKUP("BC",A1:CV300,54,FALSE))</f>
      </c>
      <c r="AH54" s="19380">
        <f>HLOOKUP("BC",A1:CV300,54,FALSE) - HLOOKUP("BC Miss",A1:CV300,54,FALSE)</f>
      </c>
      <c r="AI54" s="19381">
        <f>IF(HLOOKUP("Gs",A1:CV300,54,FALSE)=0,0,HLOOKUP("Gs - BC",A1:CV300,54,FALSE)/HLOOKUP("Gs",A1:CV300,54,FALSE))</f>
      </c>
      <c r="AJ54" t="n" s="19382">
        <v>0.0</v>
      </c>
      <c r="AK54" t="n" s="19383">
        <v>0.0</v>
      </c>
      <c r="AL54" s="19384">
        <f>HLOOKUP("BC",A1:CV300,54,FALSE) - (HLOOKUP("PK Gs",A1:CV300,54,FALSE) + HLOOKUP("PK Miss",A1:CV300,54,FALSE))</f>
      </c>
      <c r="AM54" s="19385">
        <f>HLOOKUP("BC Miss",A1:CV300,54,FALSE) - HLOOKUP("PK Miss",A1:CV300,54,FALSE)</f>
      </c>
      <c r="AN54" s="19386">
        <f>IF(HLOOKUP("BC - Open",A1:CV300,54,FALSE)=0,0,HLOOKUP("BC - Open Miss",A1:CV300,54,FALSE)/HLOOKUP("BC - Open",A1:CV300,54,FALSE))</f>
      </c>
      <c r="AO54" t="n" s="19387">
        <v>1.0</v>
      </c>
      <c r="AP54" s="19388">
        <f>IF(HLOOKUP("Gs",A1:CV300,54,FALSE)=0,0,HLOOKUP("GIB",A1:CV300,54,FALSE)/HLOOKUP("Gs",A1:CV300,54,FALSE))</f>
      </c>
      <c r="AQ54" t="n" s="19389">
        <v>1.0</v>
      </c>
      <c r="AR54" s="19390">
        <f>IF(HLOOKUP("Gs",A1:CV300,54,FALSE)=0,0,HLOOKUP("Gs - Open",A1:CV300,54,FALSE)/HLOOKUP("Gs",A1:CV300,54,FALSE))</f>
      </c>
      <c r="AS54" t="n" s="19391">
        <v>1.21</v>
      </c>
      <c r="AT54" t="n" s="19392">
        <v>0.55</v>
      </c>
      <c r="AU54" s="19393">
        <f>IF(HLOOKUP("Mins",A1:CV300,54,FALSE)=0,0,HLOOKUP("Pts",A1:CV300,54,FALSE)/HLOOKUP("Mins",A1:CV300,54,FALSE)* 90)</f>
      </c>
      <c r="AV54" s="19394">
        <f>IF(HLOOKUP("Apps",A1:CV300,54,FALSE)=0,0,HLOOKUP("Pts",A1:CV300,54,FALSE)/HLOOKUP("Apps",A1:CV300,54,FALSE)* 1)</f>
      </c>
      <c r="AW54" s="19395">
        <f>IF(HLOOKUP("Mins",A1:CV300,54,FALSE)=0,0,HLOOKUP("Gs",A1:CV300,54,FALSE)/HLOOKUP("Mins",A1:CV300,54,FALSE)* 90)</f>
      </c>
      <c r="AX54" s="19396">
        <f>IF(HLOOKUP("Mins",A1:CV300,54,FALSE)=0,0,HLOOKUP("Bonus",A1:CV300,54,FALSE)/HLOOKUP("Mins",A1:CV300,54,FALSE)* 90)</f>
      </c>
      <c r="AY54" s="19397">
        <f>IF(HLOOKUP("Mins",A1:CV300,54,FALSE)=0,0,HLOOKUP("BPS",A1:CV300,54,FALSE)/HLOOKUP("Mins",A1:CV300,54,FALSE)* 90)</f>
      </c>
      <c r="AZ54" s="19398">
        <f>IF(HLOOKUP("Mins",A1:CV300,54,FALSE)=0,0,HLOOKUP("Base BPS",A1:CV300,54,FALSE)/HLOOKUP("Mins",A1:CV300,54,FALSE)* 90)</f>
      </c>
      <c r="BA54" s="19399">
        <f>IF(HLOOKUP("Mins",A1:CV300,54,FALSE)=0,0,HLOOKUP("PenTchs",A1:CV300,54,FALSE)/HLOOKUP("Mins",A1:CV300,54,FALSE)* 90)</f>
      </c>
      <c r="BB54" s="19400">
        <f>IF(HLOOKUP("Mins",A1:CV300,54,FALSE)=0,0,HLOOKUP("Shots",A1:CV300,54,FALSE)/HLOOKUP("Mins",A1:CV300,54,FALSE)* 90)</f>
      </c>
      <c r="BC54" s="19401">
        <f>IF(HLOOKUP("Mins",A1:CV300,54,FALSE)=0,0,HLOOKUP("SIB",A1:CV300,54,FALSE)/HLOOKUP("Mins",A1:CV300,54,FALSE)* 90)</f>
      </c>
      <c r="BD54" s="19402">
        <f>IF(HLOOKUP("Mins",A1:CV300,54,FALSE)=0,0,HLOOKUP("S6YD",A1:CV300,54,FALSE)/HLOOKUP("Mins",A1:CV300,54,FALSE)* 90)</f>
      </c>
      <c r="BE54" s="19403">
        <f>IF(HLOOKUP("Mins",A1:CV300,54,FALSE)=0,0,HLOOKUP("Headers",A1:CV300,54,FALSE)/HLOOKUP("Mins",A1:CV300,54,FALSE)* 90)</f>
      </c>
      <c r="BF54" s="19404">
        <f>IF(HLOOKUP("Mins",A1:CV300,54,FALSE)=0,0,HLOOKUP("SOT",A1:CV300,54,FALSE)/HLOOKUP("Mins",A1:CV300,54,FALSE)* 90)</f>
      </c>
      <c r="BG54" s="19405">
        <f>IF(HLOOKUP("Mins",A1:CV300,54,FALSE)=0,0,HLOOKUP("As",A1:CV300,54,FALSE)/HLOOKUP("Mins",A1:CV300,54,FALSE)* 90)</f>
      </c>
      <c r="BH54" s="19406">
        <f>IF(HLOOKUP("Mins",A1:CV300,54,FALSE)=0,0,HLOOKUP("FPL As",A1:CV300,54,FALSE)/HLOOKUP("Mins",A1:CV300,54,FALSE)* 90)</f>
      </c>
      <c r="BI54" s="19407">
        <f>IF(HLOOKUP("Mins",A1:CV300,54,FALSE)=0,0,HLOOKUP("BC Created",A1:CV300,54,FALSE)/HLOOKUP("Mins",A1:CV300,54,FALSE)* 90)</f>
      </c>
      <c r="BJ54" s="19408">
        <f>IF(HLOOKUP("Mins",A1:CV300,54,FALSE)=0,0,HLOOKUP("KP",A1:CV300,54,FALSE)/HLOOKUP("Mins",A1:CV300,54,FALSE)* 90)</f>
      </c>
      <c r="BK54" s="19409">
        <f>IF(HLOOKUP("Mins",A1:CV300,54,FALSE)=0,0,HLOOKUP("BC",A1:CV300,54,FALSE)/HLOOKUP("Mins",A1:CV300,54,FALSE)* 90)</f>
      </c>
      <c r="BL54" s="19410">
        <f>IF(HLOOKUP("Mins",A1:CV300,54,FALSE)=0,0,HLOOKUP("BC Miss",A1:CV300,54,FALSE)/HLOOKUP("Mins",A1:CV300,54,FALSE)* 90)</f>
      </c>
      <c r="BM54" s="19411">
        <f>IF(HLOOKUP("Mins",A1:CV300,54,FALSE)=0,0,HLOOKUP("Gs - BC",A1:CV300,54,FALSE)/HLOOKUP("Mins",A1:CV300,54,FALSE)* 90)</f>
      </c>
      <c r="BN54" s="19412">
        <f>IF(HLOOKUP("Mins",A1:CV300,54,FALSE)=0,0,HLOOKUP("GIB",A1:CV300,54,FALSE)/HLOOKUP("Mins",A1:CV300,54,FALSE)* 90)</f>
      </c>
      <c r="BO54" s="19413">
        <f>IF(HLOOKUP("Mins",A1:CV300,54,FALSE)=0,0,HLOOKUP("Gs - Open",A1:CV300,54,FALSE)/HLOOKUP("Mins",A1:CV300,54,FALSE)* 90)</f>
      </c>
      <c r="BP54" s="19414">
        <f>IF(HLOOKUP("Mins",A1:CV300,54,FALSE)=0,0,HLOOKUP("ICT Index",A1:CV300,54,FALSE)/HLOOKUP("Mins",A1:CV300,54,FALSE)* 90)</f>
      </c>
      <c r="BQ54" s="19415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19416">
        <f>0.0885*HLOOKUP("KP/90",A1:CV300,54,FALSE)</f>
      </c>
      <c r="BS54" s="19417">
        <f>5*HLOOKUP("xG/90",A1:CV300,54,FALSE)+3*HLOOKUP("xA/90",A1:CV300,54,FALSE)</f>
      </c>
      <c r="BT54" s="19418">
        <f>HLOOKUP("xPts/90",A1:CV300,54,FALSE)-(5*0.75*(HLOOKUP("PK Gs",A1:CV300,54,FALSE)+HLOOKUP("PK Miss",A1:CV300,54,FALSE))*90/HLOOKUP("Mins",A1:CV300,54,FALSE))</f>
      </c>
      <c r="BU54" s="19419">
        <f>IF(HLOOKUP("Mins",A1:CV300,54,FALSE)=0,0,HLOOKUP("fsXG",A1:CV300,54,FALSE)/HLOOKUP("Mins",A1:CV300,54,FALSE)* 90)</f>
      </c>
      <c r="BV54" s="19420">
        <f>IF(HLOOKUP("Mins",A1:CV300,54,FALSE)=0,0,HLOOKUP("fsXA",A1:CV300,54,FALSE)/HLOOKUP("Mins",A1:CV300,54,FALSE)* 90)</f>
      </c>
      <c r="BW54" s="19421">
        <f>5*HLOOKUP("fsXG/90",A1:CV300,54,FALSE)+3*HLOOKUP("fsXA/90",A1:CV300,54,FALSE)</f>
      </c>
      <c r="BX54" t="n" s="19422">
        <v>0.22514885663986206</v>
      </c>
      <c r="BY54" t="n" s="19423">
        <v>0.11842716485261917</v>
      </c>
      <c r="BZ54" s="19424">
        <f>5*HLOOKUP("uXG/90",A1:CV300,54,FALSE)+3*HLOOKUP("uXA/90",A1:CV300,54,FALSE)</f>
      </c>
    </row>
    <row r="55">
      <c r="A55" t="s" s="19425">
        <v>346</v>
      </c>
      <c r="B55" t="s" s="19426">
        <v>98</v>
      </c>
      <c r="C55" t="n" s="19427">
        <v>5.199999809265137</v>
      </c>
      <c r="D55" t="n" s="19428">
        <v>187.0</v>
      </c>
      <c r="E55" t="n" s="19429">
        <v>4.0</v>
      </c>
      <c r="F55" t="n" s="19430">
        <v>32.0</v>
      </c>
      <c r="G55" t="n" s="19431">
        <v>0.0</v>
      </c>
      <c r="H55" t="n" s="19432">
        <v>3.0</v>
      </c>
      <c r="I55" t="n" s="19433">
        <v>119.0</v>
      </c>
      <c r="J55" s="19434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19435">
        <v>0.0</v>
      </c>
      <c r="L55" t="n" s="19436">
        <v>1.0</v>
      </c>
      <c r="M55" t="n" s="19437">
        <v>8.0</v>
      </c>
      <c r="N55" t="n" s="19438">
        <v>4.0</v>
      </c>
      <c r="O55" t="n" s="19439">
        <v>2.0</v>
      </c>
      <c r="P55" s="19440">
        <f>IF(HLOOKUP("Shots",A1:CV300,55,FALSE)=0,0,HLOOKUP("SIB",A1:CV300,55,FALSE)/HLOOKUP("Shots",A1:CV300,55,FALSE))</f>
      </c>
      <c r="Q55" t="n" s="19441">
        <v>0.0</v>
      </c>
      <c r="R55" s="19442">
        <f>IF(HLOOKUP("Shots",A1:CV300,55,FALSE)=0,0,HLOOKUP("S6YD",A1:CV300,55,FALSE)/HLOOKUP("Shots",A1:CV300,55,FALSE))</f>
      </c>
      <c r="S55" t="n" s="19443">
        <v>1.0</v>
      </c>
      <c r="T55" s="19444">
        <f>IF(HLOOKUP("Shots",A1:CV300,55,FALSE)=0,0,HLOOKUP("Headers",A1:CV300,55,FALSE)/HLOOKUP("Shots",A1:CV300,55,FALSE))</f>
      </c>
      <c r="U55" t="n" s="19445">
        <v>1.0</v>
      </c>
      <c r="V55" s="19446">
        <f>IF(HLOOKUP("Shots",A1:CV300,55,FALSE)=0,0,HLOOKUP("SOT",A1:CV300,55,FALSE)/HLOOKUP("Shots",A1:CV300,55,FALSE))</f>
      </c>
      <c r="W55" s="19447">
        <f>IF(HLOOKUP("Shots",A1:CV300,55,FALSE)=0,0,HLOOKUP("Gs",A1:CV300,55,FALSE)/HLOOKUP("Shots",A1:CV300,55,FALSE))</f>
      </c>
      <c r="X55" t="n" s="19448">
        <v>0.0</v>
      </c>
      <c r="Y55" t="n" s="19449">
        <v>1.0</v>
      </c>
      <c r="Z55" t="n" s="19450">
        <v>3.0</v>
      </c>
      <c r="AA55" s="19451">
        <f>IF(HLOOKUP("KP",A1:CV300,55,FALSE)=0,0,HLOOKUP("As",A1:CV300,55,FALSE)/HLOOKUP("KP",A1:CV300,55,FALSE))</f>
      </c>
      <c r="AB55" s="19452"/>
      <c r="AC55" t="n" s="19453">
        <v>0.0</v>
      </c>
      <c r="AD55" t="n" s="19454">
        <v>0.0</v>
      </c>
      <c r="AE55" t="n" s="19455">
        <v>0.0</v>
      </c>
      <c r="AF55" t="n" s="19456">
        <v>0.0</v>
      </c>
      <c r="AG55" s="19457">
        <f>IF(HLOOKUP("BC",A1:CV300,55,FALSE)=0,0,HLOOKUP("Gs - BC",A1:CV300,55,FALSE)/HLOOKUP("BC",A1:CV300,55,FALSE))</f>
      </c>
      <c r="AH55" s="19458">
        <f>HLOOKUP("BC",A1:CV300,55,FALSE) - HLOOKUP("BC Miss",A1:CV300,55,FALSE)</f>
      </c>
      <c r="AI55" s="19459">
        <f>IF(HLOOKUP("Gs",A1:CV300,55,FALSE)=0,0,HLOOKUP("Gs - BC",A1:CV300,55,FALSE)/HLOOKUP("Gs",A1:CV300,55,FALSE))</f>
      </c>
      <c r="AJ55" t="n" s="19460">
        <v>0.0</v>
      </c>
      <c r="AK55" t="n" s="19461">
        <v>0.0</v>
      </c>
      <c r="AL55" s="19462">
        <f>HLOOKUP("BC",A1:CV300,55,FALSE) - (HLOOKUP("PK Gs",A1:CV300,55,FALSE) + HLOOKUP("PK Miss",A1:CV300,55,FALSE))</f>
      </c>
      <c r="AM55" s="19463">
        <f>HLOOKUP("BC Miss",A1:CV300,55,FALSE) - HLOOKUP("PK Miss",A1:CV300,55,FALSE)</f>
      </c>
      <c r="AN55" s="19464">
        <f>IF(HLOOKUP("BC - Open",A1:CV300,55,FALSE)=0,0,HLOOKUP("BC - Open Miss",A1:CV300,55,FALSE)/HLOOKUP("BC - Open",A1:CV300,55,FALSE))</f>
      </c>
      <c r="AO55" t="n" s="19465">
        <v>0.0</v>
      </c>
      <c r="AP55" s="19466">
        <f>IF(HLOOKUP("Gs",A1:CV300,55,FALSE)=0,0,HLOOKUP("GIB",A1:CV300,55,FALSE)/HLOOKUP("Gs",A1:CV300,55,FALSE))</f>
      </c>
      <c r="AQ55" t="n" s="19467">
        <v>0.0</v>
      </c>
      <c r="AR55" s="19468">
        <f>IF(HLOOKUP("Gs",A1:CV300,55,FALSE)=0,0,HLOOKUP("Gs - Open",A1:CV300,55,FALSE)/HLOOKUP("Gs",A1:CV300,55,FALSE))</f>
      </c>
      <c r="AS55" t="n" s="19469">
        <v>0.24</v>
      </c>
      <c r="AT55" t="n" s="19470">
        <v>0.22</v>
      </c>
      <c r="AU55" s="19471">
        <f>IF(HLOOKUP("Mins",A1:CV300,55,FALSE)=0,0,HLOOKUP("Pts",A1:CV300,55,FALSE)/HLOOKUP("Mins",A1:CV300,55,FALSE)* 90)</f>
      </c>
      <c r="AV55" s="19472">
        <f>IF(HLOOKUP("Apps",A1:CV300,55,FALSE)=0,0,HLOOKUP("Pts",A1:CV300,55,FALSE)/HLOOKUP("Apps",A1:CV300,55,FALSE)* 1)</f>
      </c>
      <c r="AW55" s="19473">
        <f>IF(HLOOKUP("Mins",A1:CV300,55,FALSE)=0,0,HLOOKUP("Gs",A1:CV300,55,FALSE)/HLOOKUP("Mins",A1:CV300,55,FALSE)* 90)</f>
      </c>
      <c r="AX55" s="19474">
        <f>IF(HLOOKUP("Mins",A1:CV300,55,FALSE)=0,0,HLOOKUP("Bonus",A1:CV300,55,FALSE)/HLOOKUP("Mins",A1:CV300,55,FALSE)* 90)</f>
      </c>
      <c r="AY55" s="19475">
        <f>IF(HLOOKUP("Mins",A1:CV300,55,FALSE)=0,0,HLOOKUP("BPS",A1:CV300,55,FALSE)/HLOOKUP("Mins",A1:CV300,55,FALSE)* 90)</f>
      </c>
      <c r="AZ55" s="19476">
        <f>IF(HLOOKUP("Mins",A1:CV300,55,FALSE)=0,0,HLOOKUP("Base BPS",A1:CV300,55,FALSE)/HLOOKUP("Mins",A1:CV300,55,FALSE)* 90)</f>
      </c>
      <c r="BA55" s="19477">
        <f>IF(HLOOKUP("Mins",A1:CV300,55,FALSE)=0,0,HLOOKUP("PenTchs",A1:CV300,55,FALSE)/HLOOKUP("Mins",A1:CV300,55,FALSE)* 90)</f>
      </c>
      <c r="BB55" s="19478">
        <f>IF(HLOOKUP("Mins",A1:CV300,55,FALSE)=0,0,HLOOKUP("Shots",A1:CV300,55,FALSE)/HLOOKUP("Mins",A1:CV300,55,FALSE)* 90)</f>
      </c>
      <c r="BC55" s="19479">
        <f>IF(HLOOKUP("Mins",A1:CV300,55,FALSE)=0,0,HLOOKUP("SIB",A1:CV300,55,FALSE)/HLOOKUP("Mins",A1:CV300,55,FALSE)* 90)</f>
      </c>
      <c r="BD55" s="19480">
        <f>IF(HLOOKUP("Mins",A1:CV300,55,FALSE)=0,0,HLOOKUP("S6YD",A1:CV300,55,FALSE)/HLOOKUP("Mins",A1:CV300,55,FALSE)* 90)</f>
      </c>
      <c r="BE55" s="19481">
        <f>IF(HLOOKUP("Mins",A1:CV300,55,FALSE)=0,0,HLOOKUP("Headers",A1:CV300,55,FALSE)/HLOOKUP("Mins",A1:CV300,55,FALSE)* 90)</f>
      </c>
      <c r="BF55" s="19482">
        <f>IF(HLOOKUP("Mins",A1:CV300,55,FALSE)=0,0,HLOOKUP("SOT",A1:CV300,55,FALSE)/HLOOKUP("Mins",A1:CV300,55,FALSE)* 90)</f>
      </c>
      <c r="BG55" s="19483">
        <f>IF(HLOOKUP("Mins",A1:CV300,55,FALSE)=0,0,HLOOKUP("As",A1:CV300,55,FALSE)/HLOOKUP("Mins",A1:CV300,55,FALSE)* 90)</f>
      </c>
      <c r="BH55" s="19484">
        <f>IF(HLOOKUP("Mins",A1:CV300,55,FALSE)=0,0,HLOOKUP("FPL As",A1:CV300,55,FALSE)/HLOOKUP("Mins",A1:CV300,55,FALSE)* 90)</f>
      </c>
      <c r="BI55" s="19485">
        <f>IF(HLOOKUP("Mins",A1:CV300,55,FALSE)=0,0,HLOOKUP("BC Created",A1:CV300,55,FALSE)/HLOOKUP("Mins",A1:CV300,55,FALSE)* 90)</f>
      </c>
      <c r="BJ55" s="19486">
        <f>IF(HLOOKUP("Mins",A1:CV300,55,FALSE)=0,0,HLOOKUP("KP",A1:CV300,55,FALSE)/HLOOKUP("Mins",A1:CV300,55,FALSE)* 90)</f>
      </c>
      <c r="BK55" s="19487">
        <f>IF(HLOOKUP("Mins",A1:CV300,55,FALSE)=0,0,HLOOKUP("BC",A1:CV300,55,FALSE)/HLOOKUP("Mins",A1:CV300,55,FALSE)* 90)</f>
      </c>
      <c r="BL55" s="19488">
        <f>IF(HLOOKUP("Mins",A1:CV300,55,FALSE)=0,0,HLOOKUP("BC Miss",A1:CV300,55,FALSE)/HLOOKUP("Mins",A1:CV300,55,FALSE)* 90)</f>
      </c>
      <c r="BM55" s="19489">
        <f>IF(HLOOKUP("Mins",A1:CV300,55,FALSE)=0,0,HLOOKUP("Gs - BC",A1:CV300,55,FALSE)/HLOOKUP("Mins",A1:CV300,55,FALSE)* 90)</f>
      </c>
      <c r="BN55" s="19490">
        <f>IF(HLOOKUP("Mins",A1:CV300,55,FALSE)=0,0,HLOOKUP("GIB",A1:CV300,55,FALSE)/HLOOKUP("Mins",A1:CV300,55,FALSE)* 90)</f>
      </c>
      <c r="BO55" s="19491">
        <f>IF(HLOOKUP("Mins",A1:CV300,55,FALSE)=0,0,HLOOKUP("Gs - Open",A1:CV300,55,FALSE)/HLOOKUP("Mins",A1:CV300,55,FALSE)* 90)</f>
      </c>
      <c r="BP55" s="19492">
        <f>IF(HLOOKUP("Mins",A1:CV300,55,FALSE)=0,0,HLOOKUP("ICT Index",A1:CV300,55,FALSE)/HLOOKUP("Mins",A1:CV300,55,FALSE)* 90)</f>
      </c>
      <c r="BQ55" s="19493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19494">
        <f>0.0885*HLOOKUP("KP/90",A1:CV300,55,FALSE)</f>
      </c>
      <c r="BS55" s="19495">
        <f>5*HLOOKUP("xG/90",A1:CV300,55,FALSE)+3*HLOOKUP("xA/90",A1:CV300,55,FALSE)</f>
      </c>
      <c r="BT55" s="19496">
        <f>HLOOKUP("xPts/90",A1:CV300,55,FALSE)-(5*0.75*(HLOOKUP("PK Gs",A1:CV300,55,FALSE)+HLOOKUP("PK Miss",A1:CV300,55,FALSE))*90/HLOOKUP("Mins",A1:CV300,55,FALSE))</f>
      </c>
      <c r="BU55" s="19497">
        <f>IF(HLOOKUP("Mins",A1:CV300,55,FALSE)=0,0,HLOOKUP("fsXG",A1:CV300,55,FALSE)/HLOOKUP("Mins",A1:CV300,55,FALSE)* 90)</f>
      </c>
      <c r="BV55" s="19498">
        <f>IF(HLOOKUP("Mins",A1:CV300,55,FALSE)=0,0,HLOOKUP("fsXA",A1:CV300,55,FALSE)/HLOOKUP("Mins",A1:CV300,55,FALSE)* 90)</f>
      </c>
      <c r="BW55" s="19499">
        <f>5*HLOOKUP("fsXG/90",A1:CV300,55,FALSE)+3*HLOOKUP("fsXA/90",A1:CV300,55,FALSE)</f>
      </c>
      <c r="BX55" t="n" s="19500">
        <v>0.10513578355312347</v>
      </c>
      <c r="BY55" t="n" s="19501">
        <v>0.10114478319883347</v>
      </c>
      <c r="BZ55" s="19502">
        <f>5*HLOOKUP("uXG/90",A1:CV300,55,FALSE)+3*HLOOKUP("uXA/90",A1:CV300,55,FALSE)</f>
      </c>
    </row>
    <row r="56">
      <c r="A56" t="s" s="19503">
        <v>347</v>
      </c>
      <c r="B56" t="s" s="19504">
        <v>98</v>
      </c>
      <c r="C56" t="n" s="19505">
        <v>4.800000190734863</v>
      </c>
      <c r="D56" t="n" s="19506">
        <v>540.0</v>
      </c>
      <c r="E56" t="n" s="19507">
        <v>6.0</v>
      </c>
      <c r="F56" t="n" s="19508">
        <v>50.0</v>
      </c>
      <c r="G56" t="n" s="19509">
        <v>0.0</v>
      </c>
      <c r="H56" t="n" s="19510">
        <v>1.0</v>
      </c>
      <c r="I56" t="n" s="19511">
        <v>266.0</v>
      </c>
      <c r="J56" s="19512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19513">
        <v>0.0</v>
      </c>
      <c r="L56" t="n" s="19514">
        <v>4.0</v>
      </c>
      <c r="M56" t="n" s="19515">
        <v>7.0</v>
      </c>
      <c r="N56" t="n" s="19516">
        <v>10.0</v>
      </c>
      <c r="O56" t="n" s="19517">
        <v>3.0</v>
      </c>
      <c r="P56" s="19518">
        <f>IF(HLOOKUP("Shots",A1:CV300,56,FALSE)=0,0,HLOOKUP("SIB",A1:CV300,56,FALSE)/HLOOKUP("Shots",A1:CV300,56,FALSE))</f>
      </c>
      <c r="Q56" t="n" s="19519">
        <v>0.0</v>
      </c>
      <c r="R56" s="19520">
        <f>IF(HLOOKUP("Shots",A1:CV300,56,FALSE)=0,0,HLOOKUP("S6YD",A1:CV300,56,FALSE)/HLOOKUP("Shots",A1:CV300,56,FALSE))</f>
      </c>
      <c r="S56" t="n" s="19521">
        <v>1.0</v>
      </c>
      <c r="T56" s="19522">
        <f>IF(HLOOKUP("Shots",A1:CV300,56,FALSE)=0,0,HLOOKUP("Headers",A1:CV300,56,FALSE)/HLOOKUP("Shots",A1:CV300,56,FALSE))</f>
      </c>
      <c r="U56" t="n" s="19523">
        <v>2.0</v>
      </c>
      <c r="V56" s="19524">
        <f>IF(HLOOKUP("Shots",A1:CV300,56,FALSE)=0,0,HLOOKUP("SOT",A1:CV300,56,FALSE)/HLOOKUP("Shots",A1:CV300,56,FALSE))</f>
      </c>
      <c r="W56" s="19525">
        <f>IF(HLOOKUP("Shots",A1:CV300,56,FALSE)=0,0,HLOOKUP("Gs",A1:CV300,56,FALSE)/HLOOKUP("Shots",A1:CV300,56,FALSE))</f>
      </c>
      <c r="X56" t="n" s="19526">
        <v>1.0</v>
      </c>
      <c r="Y56" t="n" s="19527">
        <v>3.0</v>
      </c>
      <c r="Z56" t="n" s="19528">
        <v>6.0</v>
      </c>
      <c r="AA56" s="19529">
        <f>IF(HLOOKUP("KP",A1:CV300,56,FALSE)=0,0,HLOOKUP("As",A1:CV300,56,FALSE)/HLOOKUP("KP",A1:CV300,56,FALSE))</f>
      </c>
      <c r="AB56" s="19530"/>
      <c r="AC56" t="n" s="19531">
        <v>11.0</v>
      </c>
      <c r="AD56" t="n" s="19532">
        <v>0.0</v>
      </c>
      <c r="AE56" t="n" s="19533">
        <v>1.0</v>
      </c>
      <c r="AF56" t="n" s="19534">
        <v>1.0</v>
      </c>
      <c r="AG56" s="19535">
        <f>IF(HLOOKUP("BC",A1:CV300,56,FALSE)=0,0,HLOOKUP("Gs - BC",A1:CV300,56,FALSE)/HLOOKUP("BC",A1:CV300,56,FALSE))</f>
      </c>
      <c r="AH56" s="19536">
        <f>HLOOKUP("BC",A1:CV300,56,FALSE) - HLOOKUP("BC Miss",A1:CV300,56,FALSE)</f>
      </c>
      <c r="AI56" s="19537">
        <f>IF(HLOOKUP("Gs",A1:CV300,56,FALSE)=0,0,HLOOKUP("Gs - BC",A1:CV300,56,FALSE)/HLOOKUP("Gs",A1:CV300,56,FALSE))</f>
      </c>
      <c r="AJ56" t="n" s="19538">
        <v>0.0</v>
      </c>
      <c r="AK56" t="n" s="19539">
        <v>0.0</v>
      </c>
      <c r="AL56" s="19540">
        <f>HLOOKUP("BC",A1:CV300,56,FALSE) - (HLOOKUP("PK Gs",A1:CV300,56,FALSE) + HLOOKUP("PK Miss",A1:CV300,56,FALSE))</f>
      </c>
      <c r="AM56" s="19541">
        <f>HLOOKUP("BC Miss",A1:CV300,56,FALSE) - HLOOKUP("PK Miss",A1:CV300,56,FALSE)</f>
      </c>
      <c r="AN56" s="19542">
        <f>IF(HLOOKUP("BC - Open",A1:CV300,56,FALSE)=0,0,HLOOKUP("BC - Open Miss",A1:CV300,56,FALSE)/HLOOKUP("BC - Open",A1:CV300,56,FALSE))</f>
      </c>
      <c r="AO56" t="n" s="19543">
        <v>0.0</v>
      </c>
      <c r="AP56" s="19544">
        <f>IF(HLOOKUP("Gs",A1:CV300,56,FALSE)=0,0,HLOOKUP("GIB",A1:CV300,56,FALSE)/HLOOKUP("Gs",A1:CV300,56,FALSE))</f>
      </c>
      <c r="AQ56" t="n" s="19545">
        <v>0.0</v>
      </c>
      <c r="AR56" s="19546">
        <f>IF(HLOOKUP("Gs",A1:CV300,56,FALSE)=0,0,HLOOKUP("Gs - Open",A1:CV300,56,FALSE)/HLOOKUP("Gs",A1:CV300,56,FALSE))</f>
      </c>
      <c r="AS56" t="n" s="19547">
        <v>0.86</v>
      </c>
      <c r="AT56" t="n" s="19548">
        <v>0.43</v>
      </c>
      <c r="AU56" s="19549">
        <f>IF(HLOOKUP("Mins",A1:CV300,56,FALSE)=0,0,HLOOKUP("Pts",A1:CV300,56,FALSE)/HLOOKUP("Mins",A1:CV300,56,FALSE)* 90)</f>
      </c>
      <c r="AV56" s="19550">
        <f>IF(HLOOKUP("Apps",A1:CV300,56,FALSE)=0,0,HLOOKUP("Pts",A1:CV300,56,FALSE)/HLOOKUP("Apps",A1:CV300,56,FALSE)* 1)</f>
      </c>
      <c r="AW56" s="19551">
        <f>IF(HLOOKUP("Mins",A1:CV300,56,FALSE)=0,0,HLOOKUP("Gs",A1:CV300,56,FALSE)/HLOOKUP("Mins",A1:CV300,56,FALSE)* 90)</f>
      </c>
      <c r="AX56" s="19552">
        <f>IF(HLOOKUP("Mins",A1:CV300,56,FALSE)=0,0,HLOOKUP("Bonus",A1:CV300,56,FALSE)/HLOOKUP("Mins",A1:CV300,56,FALSE)* 90)</f>
      </c>
      <c r="AY56" s="19553">
        <f>IF(HLOOKUP("Mins",A1:CV300,56,FALSE)=0,0,HLOOKUP("BPS",A1:CV300,56,FALSE)/HLOOKUP("Mins",A1:CV300,56,FALSE)* 90)</f>
      </c>
      <c r="AZ56" s="19554">
        <f>IF(HLOOKUP("Mins",A1:CV300,56,FALSE)=0,0,HLOOKUP("Base BPS",A1:CV300,56,FALSE)/HLOOKUP("Mins",A1:CV300,56,FALSE)* 90)</f>
      </c>
      <c r="BA56" s="19555">
        <f>IF(HLOOKUP("Mins",A1:CV300,56,FALSE)=0,0,HLOOKUP("PenTchs",A1:CV300,56,FALSE)/HLOOKUP("Mins",A1:CV300,56,FALSE)* 90)</f>
      </c>
      <c r="BB56" s="19556">
        <f>IF(HLOOKUP("Mins",A1:CV300,56,FALSE)=0,0,HLOOKUP("Shots",A1:CV300,56,FALSE)/HLOOKUP("Mins",A1:CV300,56,FALSE)* 90)</f>
      </c>
      <c r="BC56" s="19557">
        <f>IF(HLOOKUP("Mins",A1:CV300,56,FALSE)=0,0,HLOOKUP("SIB",A1:CV300,56,FALSE)/HLOOKUP("Mins",A1:CV300,56,FALSE)* 90)</f>
      </c>
      <c r="BD56" s="19558">
        <f>IF(HLOOKUP("Mins",A1:CV300,56,FALSE)=0,0,HLOOKUP("S6YD",A1:CV300,56,FALSE)/HLOOKUP("Mins",A1:CV300,56,FALSE)* 90)</f>
      </c>
      <c r="BE56" s="19559">
        <f>IF(HLOOKUP("Mins",A1:CV300,56,FALSE)=0,0,HLOOKUP("Headers",A1:CV300,56,FALSE)/HLOOKUP("Mins",A1:CV300,56,FALSE)* 90)</f>
      </c>
      <c r="BF56" s="19560">
        <f>IF(HLOOKUP("Mins",A1:CV300,56,FALSE)=0,0,HLOOKUP("SOT",A1:CV300,56,FALSE)/HLOOKUP("Mins",A1:CV300,56,FALSE)* 90)</f>
      </c>
      <c r="BG56" s="19561">
        <f>IF(HLOOKUP("Mins",A1:CV300,56,FALSE)=0,0,HLOOKUP("As",A1:CV300,56,FALSE)/HLOOKUP("Mins",A1:CV300,56,FALSE)* 90)</f>
      </c>
      <c r="BH56" s="19562">
        <f>IF(HLOOKUP("Mins",A1:CV300,56,FALSE)=0,0,HLOOKUP("FPL As",A1:CV300,56,FALSE)/HLOOKUP("Mins",A1:CV300,56,FALSE)* 90)</f>
      </c>
      <c r="BI56" s="19563">
        <f>IF(HLOOKUP("Mins",A1:CV300,56,FALSE)=0,0,HLOOKUP("BC Created",A1:CV300,56,FALSE)/HLOOKUP("Mins",A1:CV300,56,FALSE)* 90)</f>
      </c>
      <c r="BJ56" s="19564">
        <f>IF(HLOOKUP("Mins",A1:CV300,56,FALSE)=0,0,HLOOKUP("KP",A1:CV300,56,FALSE)/HLOOKUP("Mins",A1:CV300,56,FALSE)* 90)</f>
      </c>
      <c r="BK56" s="19565">
        <f>IF(HLOOKUP("Mins",A1:CV300,56,FALSE)=0,0,HLOOKUP("BC",A1:CV300,56,FALSE)/HLOOKUP("Mins",A1:CV300,56,FALSE)* 90)</f>
      </c>
      <c r="BL56" s="19566">
        <f>IF(HLOOKUP("Mins",A1:CV300,56,FALSE)=0,0,HLOOKUP("BC Miss",A1:CV300,56,FALSE)/HLOOKUP("Mins",A1:CV300,56,FALSE)* 90)</f>
      </c>
      <c r="BM56" s="19567">
        <f>IF(HLOOKUP("Mins",A1:CV300,56,FALSE)=0,0,HLOOKUP("Gs - BC",A1:CV300,56,FALSE)/HLOOKUP("Mins",A1:CV300,56,FALSE)* 90)</f>
      </c>
      <c r="BN56" s="19568">
        <f>IF(HLOOKUP("Mins",A1:CV300,56,FALSE)=0,0,HLOOKUP("GIB",A1:CV300,56,FALSE)/HLOOKUP("Mins",A1:CV300,56,FALSE)* 90)</f>
      </c>
      <c r="BO56" s="19569">
        <f>IF(HLOOKUP("Mins",A1:CV300,56,FALSE)=0,0,HLOOKUP("Gs - Open",A1:CV300,56,FALSE)/HLOOKUP("Mins",A1:CV300,56,FALSE)* 90)</f>
      </c>
      <c r="BP56" s="19570">
        <f>IF(HLOOKUP("Mins",A1:CV300,56,FALSE)=0,0,HLOOKUP("ICT Index",A1:CV300,56,FALSE)/HLOOKUP("Mins",A1:CV300,56,FALSE)* 90)</f>
      </c>
      <c r="BQ56" s="19571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19572">
        <f>0.0885*HLOOKUP("KP/90",A1:CV300,56,FALSE)</f>
      </c>
      <c r="BS56" s="19573">
        <f>5*HLOOKUP("xG/90",A1:CV300,56,FALSE)+3*HLOOKUP("xA/90",A1:CV300,56,FALSE)</f>
      </c>
      <c r="BT56" s="19574">
        <f>HLOOKUP("xPts/90",A1:CV300,56,FALSE)-(5*0.75*(HLOOKUP("PK Gs",A1:CV300,56,FALSE)+HLOOKUP("PK Miss",A1:CV300,56,FALSE))*90/HLOOKUP("Mins",A1:CV300,56,FALSE))</f>
      </c>
      <c r="BU56" s="19575">
        <f>IF(HLOOKUP("Mins",A1:CV300,56,FALSE)=0,0,HLOOKUP("fsXG",A1:CV300,56,FALSE)/HLOOKUP("Mins",A1:CV300,56,FALSE)* 90)</f>
      </c>
      <c r="BV56" s="19576">
        <f>IF(HLOOKUP("Mins",A1:CV300,56,FALSE)=0,0,HLOOKUP("fsXA",A1:CV300,56,FALSE)/HLOOKUP("Mins",A1:CV300,56,FALSE)* 90)</f>
      </c>
      <c r="BW56" s="19577">
        <f>5*HLOOKUP("fsXG/90",A1:CV300,56,FALSE)+3*HLOOKUP("fsXA/90",A1:CV300,56,FALSE)</f>
      </c>
      <c r="BX56" t="n" s="19578">
        <v>0.13281646370887756</v>
      </c>
      <c r="BY56" t="n" s="19579">
        <v>0.07349009066820145</v>
      </c>
      <c r="BZ56" s="19580">
        <f>5*HLOOKUP("uXG/90",A1:CV300,56,FALSE)+3*HLOOKUP("uXA/90",A1:CV300,56,FALSE)</f>
      </c>
    </row>
    <row r="57">
      <c r="A57" t="s" s="19581">
        <v>348</v>
      </c>
      <c r="B57" t="s" s="19582">
        <v>90</v>
      </c>
      <c r="C57" t="n" s="19583">
        <v>4.400000095367432</v>
      </c>
      <c r="D57" t="n" s="19584">
        <v>262.0</v>
      </c>
      <c r="E57" t="n" s="19585">
        <v>4.0</v>
      </c>
      <c r="F57" t="n" s="19586">
        <v>25.0</v>
      </c>
      <c r="G57" t="n" s="19587">
        <v>0.0</v>
      </c>
      <c r="H57" t="n" s="19588">
        <v>0.0</v>
      </c>
      <c r="I57" t="n" s="19589">
        <v>161.0</v>
      </c>
      <c r="J57" s="19590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19591">
        <v>0.0</v>
      </c>
      <c r="L57" t="n" s="19592">
        <v>2.0</v>
      </c>
      <c r="M57" t="n" s="19593">
        <v>1.0</v>
      </c>
      <c r="N57" t="n" s="19594">
        <v>1.0</v>
      </c>
      <c r="O57" t="n" s="19595">
        <v>1.0</v>
      </c>
      <c r="P57" s="19596">
        <f>IF(HLOOKUP("Shots",A1:CV300,57,FALSE)=0,0,HLOOKUP("SIB",A1:CV300,57,FALSE)/HLOOKUP("Shots",A1:CV300,57,FALSE))</f>
      </c>
      <c r="Q57" t="n" s="19597">
        <v>0.0</v>
      </c>
      <c r="R57" s="19598">
        <f>IF(HLOOKUP("Shots",A1:CV300,57,FALSE)=0,0,HLOOKUP("S6YD",A1:CV300,57,FALSE)/HLOOKUP("Shots",A1:CV300,57,FALSE))</f>
      </c>
      <c r="S57" t="n" s="19599">
        <v>1.0</v>
      </c>
      <c r="T57" s="19600">
        <f>IF(HLOOKUP("Shots",A1:CV300,57,FALSE)=0,0,HLOOKUP("Headers",A1:CV300,57,FALSE)/HLOOKUP("Shots",A1:CV300,57,FALSE))</f>
      </c>
      <c r="U57" t="n" s="19601">
        <v>1.0</v>
      </c>
      <c r="V57" s="19602">
        <f>IF(HLOOKUP("Shots",A1:CV300,57,FALSE)=0,0,HLOOKUP("SOT",A1:CV300,57,FALSE)/HLOOKUP("Shots",A1:CV300,57,FALSE))</f>
      </c>
      <c r="W57" s="19603">
        <f>IF(HLOOKUP("Shots",A1:CV300,57,FALSE)=0,0,HLOOKUP("Gs",A1:CV300,57,FALSE)/HLOOKUP("Shots",A1:CV300,57,FALSE))</f>
      </c>
      <c r="X57" t="n" s="19604">
        <v>0.0</v>
      </c>
      <c r="Y57" t="n" s="19605">
        <v>0.0</v>
      </c>
      <c r="Z57" t="n" s="19606">
        <v>0.0</v>
      </c>
      <c r="AA57" s="19607">
        <f>IF(HLOOKUP("KP",A1:CV300,57,FALSE)=0,0,HLOOKUP("As",A1:CV300,57,FALSE)/HLOOKUP("KP",A1:CV300,57,FALSE))</f>
      </c>
      <c r="AB57" s="19608"/>
      <c r="AC57" t="n" s="19609">
        <v>0.0</v>
      </c>
      <c r="AD57" t="n" s="19610">
        <v>0.0</v>
      </c>
      <c r="AE57" t="n" s="19611">
        <v>0.0</v>
      </c>
      <c r="AF57" t="n" s="19612">
        <v>0.0</v>
      </c>
      <c r="AG57" s="19613">
        <f>IF(HLOOKUP("BC",A1:CV300,57,FALSE)=0,0,HLOOKUP("Gs - BC",A1:CV300,57,FALSE)/HLOOKUP("BC",A1:CV300,57,FALSE))</f>
      </c>
      <c r="AH57" s="19614">
        <f>HLOOKUP("BC",A1:CV300,57,FALSE) - HLOOKUP("BC Miss",A1:CV300,57,FALSE)</f>
      </c>
      <c r="AI57" s="19615">
        <f>IF(HLOOKUP("Gs",A1:CV300,57,FALSE)=0,0,HLOOKUP("Gs - BC",A1:CV300,57,FALSE)/HLOOKUP("Gs",A1:CV300,57,FALSE))</f>
      </c>
      <c r="AJ57" t="n" s="19616">
        <v>0.0</v>
      </c>
      <c r="AK57" t="n" s="19617">
        <v>0.0</v>
      </c>
      <c r="AL57" s="19618">
        <f>HLOOKUP("BC",A1:CV300,57,FALSE) - (HLOOKUP("PK Gs",A1:CV300,57,FALSE) + HLOOKUP("PK Miss",A1:CV300,57,FALSE))</f>
      </c>
      <c r="AM57" s="19619">
        <f>HLOOKUP("BC Miss",A1:CV300,57,FALSE) - HLOOKUP("PK Miss",A1:CV300,57,FALSE)</f>
      </c>
      <c r="AN57" s="19620">
        <f>IF(HLOOKUP("BC - Open",A1:CV300,57,FALSE)=0,0,HLOOKUP("BC - Open Miss",A1:CV300,57,FALSE)/HLOOKUP("BC - Open",A1:CV300,57,FALSE))</f>
      </c>
      <c r="AO57" t="n" s="19621">
        <v>0.0</v>
      </c>
      <c r="AP57" s="19622">
        <f>IF(HLOOKUP("Gs",A1:CV300,57,FALSE)=0,0,HLOOKUP("GIB",A1:CV300,57,FALSE)/HLOOKUP("Gs",A1:CV300,57,FALSE))</f>
      </c>
      <c r="AQ57" t="n" s="19623">
        <v>0.0</v>
      </c>
      <c r="AR57" s="19624">
        <f>IF(HLOOKUP("Gs",A1:CV300,57,FALSE)=0,0,HLOOKUP("Gs - Open",A1:CV300,57,FALSE)/HLOOKUP("Gs",A1:CV300,57,FALSE))</f>
      </c>
      <c r="AS57" t="n" s="19625">
        <v>0.05</v>
      </c>
      <c r="AT57" t="n" s="19626">
        <v>0.04</v>
      </c>
      <c r="AU57" s="19627">
        <f>IF(HLOOKUP("Mins",A1:CV300,57,FALSE)=0,0,HLOOKUP("Pts",A1:CV300,57,FALSE)/HLOOKUP("Mins",A1:CV300,57,FALSE)* 90)</f>
      </c>
      <c r="AV57" s="19628">
        <f>IF(HLOOKUP("Apps",A1:CV300,57,FALSE)=0,0,HLOOKUP("Pts",A1:CV300,57,FALSE)/HLOOKUP("Apps",A1:CV300,57,FALSE)* 1)</f>
      </c>
      <c r="AW57" s="19629">
        <f>IF(HLOOKUP("Mins",A1:CV300,57,FALSE)=0,0,HLOOKUP("Gs",A1:CV300,57,FALSE)/HLOOKUP("Mins",A1:CV300,57,FALSE)* 90)</f>
      </c>
      <c r="AX57" s="19630">
        <f>IF(HLOOKUP("Mins",A1:CV300,57,FALSE)=0,0,HLOOKUP("Bonus",A1:CV300,57,FALSE)/HLOOKUP("Mins",A1:CV300,57,FALSE)* 90)</f>
      </c>
      <c r="AY57" s="19631">
        <f>IF(HLOOKUP("Mins",A1:CV300,57,FALSE)=0,0,HLOOKUP("BPS",A1:CV300,57,FALSE)/HLOOKUP("Mins",A1:CV300,57,FALSE)* 90)</f>
      </c>
      <c r="AZ57" s="19632">
        <f>IF(HLOOKUP("Mins",A1:CV300,57,FALSE)=0,0,HLOOKUP("Base BPS",A1:CV300,57,FALSE)/HLOOKUP("Mins",A1:CV300,57,FALSE)* 90)</f>
      </c>
      <c r="BA57" s="19633">
        <f>IF(HLOOKUP("Mins",A1:CV300,57,FALSE)=0,0,HLOOKUP("PenTchs",A1:CV300,57,FALSE)/HLOOKUP("Mins",A1:CV300,57,FALSE)* 90)</f>
      </c>
      <c r="BB57" s="19634">
        <f>IF(HLOOKUP("Mins",A1:CV300,57,FALSE)=0,0,HLOOKUP("Shots",A1:CV300,57,FALSE)/HLOOKUP("Mins",A1:CV300,57,FALSE)* 90)</f>
      </c>
      <c r="BC57" s="19635">
        <f>IF(HLOOKUP("Mins",A1:CV300,57,FALSE)=0,0,HLOOKUP("SIB",A1:CV300,57,FALSE)/HLOOKUP("Mins",A1:CV300,57,FALSE)* 90)</f>
      </c>
      <c r="BD57" s="19636">
        <f>IF(HLOOKUP("Mins",A1:CV300,57,FALSE)=0,0,HLOOKUP("S6YD",A1:CV300,57,FALSE)/HLOOKUP("Mins",A1:CV300,57,FALSE)* 90)</f>
      </c>
      <c r="BE57" s="19637">
        <f>IF(HLOOKUP("Mins",A1:CV300,57,FALSE)=0,0,HLOOKUP("Headers",A1:CV300,57,FALSE)/HLOOKUP("Mins",A1:CV300,57,FALSE)* 90)</f>
      </c>
      <c r="BF57" s="19638">
        <f>IF(HLOOKUP("Mins",A1:CV300,57,FALSE)=0,0,HLOOKUP("SOT",A1:CV300,57,FALSE)/HLOOKUP("Mins",A1:CV300,57,FALSE)* 90)</f>
      </c>
      <c r="BG57" s="19639">
        <f>IF(HLOOKUP("Mins",A1:CV300,57,FALSE)=0,0,HLOOKUP("As",A1:CV300,57,FALSE)/HLOOKUP("Mins",A1:CV300,57,FALSE)* 90)</f>
      </c>
      <c r="BH57" s="19640">
        <f>IF(HLOOKUP("Mins",A1:CV300,57,FALSE)=0,0,HLOOKUP("FPL As",A1:CV300,57,FALSE)/HLOOKUP("Mins",A1:CV300,57,FALSE)* 90)</f>
      </c>
      <c r="BI57" s="19641">
        <f>IF(HLOOKUP("Mins",A1:CV300,57,FALSE)=0,0,HLOOKUP("BC Created",A1:CV300,57,FALSE)/HLOOKUP("Mins",A1:CV300,57,FALSE)* 90)</f>
      </c>
      <c r="BJ57" s="19642">
        <f>IF(HLOOKUP("Mins",A1:CV300,57,FALSE)=0,0,HLOOKUP("KP",A1:CV300,57,FALSE)/HLOOKUP("Mins",A1:CV300,57,FALSE)* 90)</f>
      </c>
      <c r="BK57" s="19643">
        <f>IF(HLOOKUP("Mins",A1:CV300,57,FALSE)=0,0,HLOOKUP("BC",A1:CV300,57,FALSE)/HLOOKUP("Mins",A1:CV300,57,FALSE)* 90)</f>
      </c>
      <c r="BL57" s="19644">
        <f>IF(HLOOKUP("Mins",A1:CV300,57,FALSE)=0,0,HLOOKUP("BC Miss",A1:CV300,57,FALSE)/HLOOKUP("Mins",A1:CV300,57,FALSE)* 90)</f>
      </c>
      <c r="BM57" s="19645">
        <f>IF(HLOOKUP("Mins",A1:CV300,57,FALSE)=0,0,HLOOKUP("Gs - BC",A1:CV300,57,FALSE)/HLOOKUP("Mins",A1:CV300,57,FALSE)* 90)</f>
      </c>
      <c r="BN57" s="19646">
        <f>IF(HLOOKUP("Mins",A1:CV300,57,FALSE)=0,0,HLOOKUP("GIB",A1:CV300,57,FALSE)/HLOOKUP("Mins",A1:CV300,57,FALSE)* 90)</f>
      </c>
      <c r="BO57" s="19647">
        <f>IF(HLOOKUP("Mins",A1:CV300,57,FALSE)=0,0,HLOOKUP("Gs - Open",A1:CV300,57,FALSE)/HLOOKUP("Mins",A1:CV300,57,FALSE)* 90)</f>
      </c>
      <c r="BP57" s="19648">
        <f>IF(HLOOKUP("Mins",A1:CV300,57,FALSE)=0,0,HLOOKUP("ICT Index",A1:CV300,57,FALSE)/HLOOKUP("Mins",A1:CV300,57,FALSE)* 90)</f>
      </c>
      <c r="BQ57" s="19649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19650">
        <f>0.0885*HLOOKUP("KP/90",A1:CV300,57,FALSE)</f>
      </c>
      <c r="BS57" s="19651">
        <f>5*HLOOKUP("xG/90",A1:CV300,57,FALSE)+3*HLOOKUP("xA/90",A1:CV300,57,FALSE)</f>
      </c>
      <c r="BT57" s="19652">
        <f>HLOOKUP("xPts/90",A1:CV300,57,FALSE)-(5*0.75*(HLOOKUP("PK Gs",A1:CV300,57,FALSE)+HLOOKUP("PK Miss",A1:CV300,57,FALSE))*90/HLOOKUP("Mins",A1:CV300,57,FALSE))</f>
      </c>
      <c r="BU57" s="19653">
        <f>IF(HLOOKUP("Mins",A1:CV300,57,FALSE)=0,0,HLOOKUP("fsXG",A1:CV300,57,FALSE)/HLOOKUP("Mins",A1:CV300,57,FALSE)* 90)</f>
      </c>
      <c r="BV57" s="19654">
        <f>IF(HLOOKUP("Mins",A1:CV300,57,FALSE)=0,0,HLOOKUP("fsXA",A1:CV300,57,FALSE)/HLOOKUP("Mins",A1:CV300,57,FALSE)* 90)</f>
      </c>
      <c r="BW57" s="19655">
        <f>5*HLOOKUP("fsXG/90",A1:CV300,57,FALSE)+3*HLOOKUP("fsXA/90",A1:CV300,57,FALSE)</f>
      </c>
      <c r="BX57" t="n" s="19656">
        <v>0.02694297581911087</v>
      </c>
      <c r="BY57" t="n" s="19657">
        <v>0.0</v>
      </c>
      <c r="BZ57" s="19658">
        <f>5*HLOOKUP("uXG/90",A1:CV300,57,FALSE)+3*HLOOKUP("uXA/90",A1:CV300,57,FALSE)</f>
      </c>
    </row>
    <row r="58">
      <c r="A58" t="s" s="19659">
        <v>349</v>
      </c>
      <c r="B58" t="s" s="19660">
        <v>147</v>
      </c>
      <c r="C58" t="n" s="19661">
        <v>5.300000190734863</v>
      </c>
      <c r="D58" t="n" s="19662">
        <v>180.0</v>
      </c>
      <c r="E58" t="n" s="19663">
        <v>4.0</v>
      </c>
      <c r="F58" t="n" s="19664">
        <v>48.0</v>
      </c>
      <c r="G58" t="n" s="19665">
        <v>0.0</v>
      </c>
      <c r="H58" t="n" s="19666">
        <v>4.0</v>
      </c>
      <c r="I58" t="n" s="19667">
        <v>316.0</v>
      </c>
      <c r="J58" s="19668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19669">
        <v>0.0</v>
      </c>
      <c r="L58" t="n" s="19670">
        <v>2.0</v>
      </c>
      <c r="M58" t="n" s="19671">
        <v>0.0</v>
      </c>
      <c r="N58" t="n" s="19672">
        <v>2.0</v>
      </c>
      <c r="O58" t="n" s="19673">
        <v>0.0</v>
      </c>
      <c r="P58" s="19674">
        <f>IF(HLOOKUP("Shots",A1:CV300,58,FALSE)=0,0,HLOOKUP("SIB",A1:CV300,58,FALSE)/HLOOKUP("Shots",A1:CV300,58,FALSE))</f>
      </c>
      <c r="Q58" t="n" s="19675">
        <v>0.0</v>
      </c>
      <c r="R58" s="19676">
        <f>IF(HLOOKUP("Shots",A1:CV300,58,FALSE)=0,0,HLOOKUP("S6YD",A1:CV300,58,FALSE)/HLOOKUP("Shots",A1:CV300,58,FALSE))</f>
      </c>
      <c r="S58" t="n" s="19677">
        <v>0.0</v>
      </c>
      <c r="T58" s="19678">
        <f>IF(HLOOKUP("Shots",A1:CV300,58,FALSE)=0,0,HLOOKUP("Headers",A1:CV300,58,FALSE)/HLOOKUP("Shots",A1:CV300,58,FALSE))</f>
      </c>
      <c r="U58" t="n" s="19679">
        <v>1.0</v>
      </c>
      <c r="V58" s="19680">
        <f>IF(HLOOKUP("Shots",A1:CV300,58,FALSE)=0,0,HLOOKUP("SOT",A1:CV300,58,FALSE)/HLOOKUP("Shots",A1:CV300,58,FALSE))</f>
      </c>
      <c r="W58" s="19681">
        <f>IF(HLOOKUP("Shots",A1:CV300,58,FALSE)=0,0,HLOOKUP("Gs",A1:CV300,58,FALSE)/HLOOKUP("Shots",A1:CV300,58,FALSE))</f>
      </c>
      <c r="X58" t="n" s="19682">
        <v>1.0</v>
      </c>
      <c r="Y58" t="n" s="19683">
        <v>3.0</v>
      </c>
      <c r="Z58" t="n" s="19684">
        <v>2.0</v>
      </c>
      <c r="AA58" s="19685">
        <f>IF(HLOOKUP("KP",A1:CV300,58,FALSE)=0,0,HLOOKUP("As",A1:CV300,58,FALSE)/HLOOKUP("KP",A1:CV300,58,FALSE))</f>
      </c>
      <c r="AB58" s="19686"/>
      <c r="AC58" t="n" s="19687">
        <v>50.0</v>
      </c>
      <c r="AD58" t="n" s="19688">
        <v>0.0</v>
      </c>
      <c r="AE58" t="n" s="19689">
        <v>0.0</v>
      </c>
      <c r="AF58" t="n" s="19690">
        <v>0.0</v>
      </c>
      <c r="AG58" s="19691">
        <f>IF(HLOOKUP("BC",A1:CV300,58,FALSE)=0,0,HLOOKUP("Gs - BC",A1:CV300,58,FALSE)/HLOOKUP("BC",A1:CV300,58,FALSE))</f>
      </c>
      <c r="AH58" s="19692">
        <f>HLOOKUP("BC",A1:CV300,58,FALSE) - HLOOKUP("BC Miss",A1:CV300,58,FALSE)</f>
      </c>
      <c r="AI58" s="19693">
        <f>IF(HLOOKUP("Gs",A1:CV300,58,FALSE)=0,0,HLOOKUP("Gs - BC",A1:CV300,58,FALSE)/HLOOKUP("Gs",A1:CV300,58,FALSE))</f>
      </c>
      <c r="AJ58" t="n" s="19694">
        <v>0.0</v>
      </c>
      <c r="AK58" t="n" s="19695">
        <v>0.0</v>
      </c>
      <c r="AL58" s="19696">
        <f>HLOOKUP("BC",A1:CV300,58,FALSE) - (HLOOKUP("PK Gs",A1:CV300,58,FALSE) + HLOOKUP("PK Miss",A1:CV300,58,FALSE))</f>
      </c>
      <c r="AM58" s="19697">
        <f>HLOOKUP("BC Miss",A1:CV300,58,FALSE) - HLOOKUP("PK Miss",A1:CV300,58,FALSE)</f>
      </c>
      <c r="AN58" s="19698">
        <f>IF(HLOOKUP("BC - Open",A1:CV300,58,FALSE)=0,0,HLOOKUP("BC - Open Miss",A1:CV300,58,FALSE)/HLOOKUP("BC - Open",A1:CV300,58,FALSE))</f>
      </c>
      <c r="AO58" t="n" s="19699">
        <v>0.0</v>
      </c>
      <c r="AP58" s="19700">
        <f>IF(HLOOKUP("Gs",A1:CV300,58,FALSE)=0,0,HLOOKUP("GIB",A1:CV300,58,FALSE)/HLOOKUP("Gs",A1:CV300,58,FALSE))</f>
      </c>
      <c r="AQ58" t="n" s="19701">
        <v>0.0</v>
      </c>
      <c r="AR58" s="19702">
        <f>IF(HLOOKUP("Gs",A1:CV300,58,FALSE)=0,0,HLOOKUP("Gs - Open",A1:CV300,58,FALSE)/HLOOKUP("Gs",A1:CV300,58,FALSE))</f>
      </c>
      <c r="AS58" t="n" s="19703">
        <v>0.06</v>
      </c>
      <c r="AT58" t="n" s="19704">
        <v>0.08</v>
      </c>
      <c r="AU58" s="19705">
        <f>IF(HLOOKUP("Mins",A1:CV300,58,FALSE)=0,0,HLOOKUP("Pts",A1:CV300,58,FALSE)/HLOOKUP("Mins",A1:CV300,58,FALSE)* 90)</f>
      </c>
      <c r="AV58" s="19706">
        <f>IF(HLOOKUP("Apps",A1:CV300,58,FALSE)=0,0,HLOOKUP("Pts",A1:CV300,58,FALSE)/HLOOKUP("Apps",A1:CV300,58,FALSE)* 1)</f>
      </c>
      <c r="AW58" s="19707">
        <f>IF(HLOOKUP("Mins",A1:CV300,58,FALSE)=0,0,HLOOKUP("Gs",A1:CV300,58,FALSE)/HLOOKUP("Mins",A1:CV300,58,FALSE)* 90)</f>
      </c>
      <c r="AX58" s="19708">
        <f>IF(HLOOKUP("Mins",A1:CV300,58,FALSE)=0,0,HLOOKUP("Bonus",A1:CV300,58,FALSE)/HLOOKUP("Mins",A1:CV300,58,FALSE)* 90)</f>
      </c>
      <c r="AY58" s="19709">
        <f>IF(HLOOKUP("Mins",A1:CV300,58,FALSE)=0,0,HLOOKUP("BPS",A1:CV300,58,FALSE)/HLOOKUP("Mins",A1:CV300,58,FALSE)* 90)</f>
      </c>
      <c r="AZ58" s="19710">
        <f>IF(HLOOKUP("Mins",A1:CV300,58,FALSE)=0,0,HLOOKUP("Base BPS",A1:CV300,58,FALSE)/HLOOKUP("Mins",A1:CV300,58,FALSE)* 90)</f>
      </c>
      <c r="BA58" s="19711">
        <f>IF(HLOOKUP("Mins",A1:CV300,58,FALSE)=0,0,HLOOKUP("PenTchs",A1:CV300,58,FALSE)/HLOOKUP("Mins",A1:CV300,58,FALSE)* 90)</f>
      </c>
      <c r="BB58" s="19712">
        <f>IF(HLOOKUP("Mins",A1:CV300,58,FALSE)=0,0,HLOOKUP("Shots",A1:CV300,58,FALSE)/HLOOKUP("Mins",A1:CV300,58,FALSE)* 90)</f>
      </c>
      <c r="BC58" s="19713">
        <f>IF(HLOOKUP("Mins",A1:CV300,58,FALSE)=0,0,HLOOKUP("SIB",A1:CV300,58,FALSE)/HLOOKUP("Mins",A1:CV300,58,FALSE)* 90)</f>
      </c>
      <c r="BD58" s="19714">
        <f>IF(HLOOKUP("Mins",A1:CV300,58,FALSE)=0,0,HLOOKUP("S6YD",A1:CV300,58,FALSE)/HLOOKUP("Mins",A1:CV300,58,FALSE)* 90)</f>
      </c>
      <c r="BE58" s="19715">
        <f>IF(HLOOKUP("Mins",A1:CV300,58,FALSE)=0,0,HLOOKUP("Headers",A1:CV300,58,FALSE)/HLOOKUP("Mins",A1:CV300,58,FALSE)* 90)</f>
      </c>
      <c r="BF58" s="19716">
        <f>IF(HLOOKUP("Mins",A1:CV300,58,FALSE)=0,0,HLOOKUP("SOT",A1:CV300,58,FALSE)/HLOOKUP("Mins",A1:CV300,58,FALSE)* 90)</f>
      </c>
      <c r="BG58" s="19717">
        <f>IF(HLOOKUP("Mins",A1:CV300,58,FALSE)=0,0,HLOOKUP("As",A1:CV300,58,FALSE)/HLOOKUP("Mins",A1:CV300,58,FALSE)* 90)</f>
      </c>
      <c r="BH58" s="19718">
        <f>IF(HLOOKUP("Mins",A1:CV300,58,FALSE)=0,0,HLOOKUP("FPL As",A1:CV300,58,FALSE)/HLOOKUP("Mins",A1:CV300,58,FALSE)* 90)</f>
      </c>
      <c r="BI58" s="19719">
        <f>IF(HLOOKUP("Mins",A1:CV300,58,FALSE)=0,0,HLOOKUP("BC Created",A1:CV300,58,FALSE)/HLOOKUP("Mins",A1:CV300,58,FALSE)* 90)</f>
      </c>
      <c r="BJ58" s="19720">
        <f>IF(HLOOKUP("Mins",A1:CV300,58,FALSE)=0,0,HLOOKUP("KP",A1:CV300,58,FALSE)/HLOOKUP("Mins",A1:CV300,58,FALSE)* 90)</f>
      </c>
      <c r="BK58" s="19721">
        <f>IF(HLOOKUP("Mins",A1:CV300,58,FALSE)=0,0,HLOOKUP("BC",A1:CV300,58,FALSE)/HLOOKUP("Mins",A1:CV300,58,FALSE)* 90)</f>
      </c>
      <c r="BL58" s="19722">
        <f>IF(HLOOKUP("Mins",A1:CV300,58,FALSE)=0,0,HLOOKUP("BC Miss",A1:CV300,58,FALSE)/HLOOKUP("Mins",A1:CV300,58,FALSE)* 90)</f>
      </c>
      <c r="BM58" s="19723">
        <f>IF(HLOOKUP("Mins",A1:CV300,58,FALSE)=0,0,HLOOKUP("Gs - BC",A1:CV300,58,FALSE)/HLOOKUP("Mins",A1:CV300,58,FALSE)* 90)</f>
      </c>
      <c r="BN58" s="19724">
        <f>IF(HLOOKUP("Mins",A1:CV300,58,FALSE)=0,0,HLOOKUP("GIB",A1:CV300,58,FALSE)/HLOOKUP("Mins",A1:CV300,58,FALSE)* 90)</f>
      </c>
      <c r="BO58" s="19725">
        <f>IF(HLOOKUP("Mins",A1:CV300,58,FALSE)=0,0,HLOOKUP("Gs - Open",A1:CV300,58,FALSE)/HLOOKUP("Mins",A1:CV300,58,FALSE)* 90)</f>
      </c>
      <c r="BP58" s="19726">
        <f>IF(HLOOKUP("Mins",A1:CV300,58,FALSE)=0,0,HLOOKUP("ICT Index",A1:CV300,58,FALSE)/HLOOKUP("Mins",A1:CV300,58,FALSE)* 90)</f>
      </c>
      <c r="BQ58" s="19727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19728">
        <f>0.0885*HLOOKUP("KP/90",A1:CV300,58,FALSE)</f>
      </c>
      <c r="BS58" s="19729">
        <f>5*HLOOKUP("xG/90",A1:CV300,58,FALSE)+3*HLOOKUP("xA/90",A1:CV300,58,FALSE)</f>
      </c>
      <c r="BT58" s="19730">
        <f>HLOOKUP("xPts/90",A1:CV300,58,FALSE)-(5*0.75*(HLOOKUP("PK Gs",A1:CV300,58,FALSE)+HLOOKUP("PK Miss",A1:CV300,58,FALSE))*90/HLOOKUP("Mins",A1:CV300,58,FALSE))</f>
      </c>
      <c r="BU58" s="19731">
        <f>IF(HLOOKUP("Mins",A1:CV300,58,FALSE)=0,0,HLOOKUP("fsXG",A1:CV300,58,FALSE)/HLOOKUP("Mins",A1:CV300,58,FALSE)* 90)</f>
      </c>
      <c r="BV58" s="19732">
        <f>IF(HLOOKUP("Mins",A1:CV300,58,FALSE)=0,0,HLOOKUP("fsXA",A1:CV300,58,FALSE)/HLOOKUP("Mins",A1:CV300,58,FALSE)* 90)</f>
      </c>
      <c r="BW58" s="19733">
        <f>5*HLOOKUP("fsXG/90",A1:CV300,58,FALSE)+3*HLOOKUP("fsXA/90",A1:CV300,58,FALSE)</f>
      </c>
      <c r="BX58" t="n" s="19734">
        <v>0.01889972947537899</v>
      </c>
      <c r="BY58" t="n" s="19735">
        <v>0.04725183546543121</v>
      </c>
      <c r="BZ58" s="19736">
        <f>5*HLOOKUP("uXG/90",A1:CV300,58,FALSE)+3*HLOOKUP("uXA/90",A1:CV300,58,FALSE)</f>
      </c>
    </row>
    <row r="59">
      <c r="A59" t="s" s="19737">
        <v>350</v>
      </c>
      <c r="B59" t="s" s="19738">
        <v>94</v>
      </c>
      <c r="C59" t="n" s="19739">
        <v>8.600000381469727</v>
      </c>
      <c r="D59" t="n" s="19740">
        <v>539.0</v>
      </c>
      <c r="E59" t="n" s="19741">
        <v>6.0</v>
      </c>
      <c r="F59" t="n" s="19742">
        <v>77.0</v>
      </c>
      <c r="G59" t="n" s="19743">
        <v>1.0</v>
      </c>
      <c r="H59" t="n" s="19744">
        <v>9.0</v>
      </c>
      <c r="I59" t="n" s="19745">
        <v>259.0</v>
      </c>
      <c r="J59" s="19746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19747">
        <v>0.0</v>
      </c>
      <c r="L59" t="n" s="19748">
        <v>2.0</v>
      </c>
      <c r="M59" t="n" s="19749">
        <v>27.0</v>
      </c>
      <c r="N59" t="n" s="19750">
        <v>10.0</v>
      </c>
      <c r="O59" t="n" s="19751">
        <v>7.0</v>
      </c>
      <c r="P59" s="19752">
        <f>IF(HLOOKUP("Shots",A1:CV300,59,FALSE)=0,0,HLOOKUP("SIB",A1:CV300,59,FALSE)/HLOOKUP("Shots",A1:CV300,59,FALSE))</f>
      </c>
      <c r="Q59" t="n" s="19753">
        <v>0.0</v>
      </c>
      <c r="R59" s="19754">
        <f>IF(HLOOKUP("Shots",A1:CV300,59,FALSE)=0,0,HLOOKUP("S6YD",A1:CV300,59,FALSE)/HLOOKUP("Shots",A1:CV300,59,FALSE))</f>
      </c>
      <c r="S59" t="n" s="19755">
        <v>1.0</v>
      </c>
      <c r="T59" s="19756">
        <f>IF(HLOOKUP("Shots",A1:CV300,59,FALSE)=0,0,HLOOKUP("Headers",A1:CV300,59,FALSE)/HLOOKUP("Shots",A1:CV300,59,FALSE))</f>
      </c>
      <c r="U59" t="n" s="19757">
        <v>5.0</v>
      </c>
      <c r="V59" s="19758">
        <f>IF(HLOOKUP("Shots",A1:CV300,59,FALSE)=0,0,HLOOKUP("SOT",A1:CV300,59,FALSE)/HLOOKUP("Shots",A1:CV300,59,FALSE))</f>
      </c>
      <c r="W59" s="19759">
        <f>IF(HLOOKUP("Shots",A1:CV300,59,FALSE)=0,0,HLOOKUP("Gs",A1:CV300,59,FALSE)/HLOOKUP("Shots",A1:CV300,59,FALSE))</f>
      </c>
      <c r="X59" t="n" s="19760">
        <v>0.0</v>
      </c>
      <c r="Y59" t="n" s="19761">
        <v>3.0</v>
      </c>
      <c r="Z59" t="n" s="19762">
        <v>6.0</v>
      </c>
      <c r="AA59" s="19763">
        <f>IF(HLOOKUP("KP",A1:CV300,59,FALSE)=0,0,HLOOKUP("As",A1:CV300,59,FALSE)/HLOOKUP("KP",A1:CV300,59,FALSE))</f>
      </c>
      <c r="AB59" s="19764"/>
      <c r="AC59" t="n" s="19765">
        <v>17.0</v>
      </c>
      <c r="AD59" t="n" s="19766">
        <v>2.0</v>
      </c>
      <c r="AE59" t="n" s="19767">
        <v>0.0</v>
      </c>
      <c r="AF59" t="n" s="19768">
        <v>0.0</v>
      </c>
      <c r="AG59" s="19769">
        <f>IF(HLOOKUP("BC",A1:CV300,59,FALSE)=0,0,HLOOKUP("Gs - BC",A1:CV300,59,FALSE)/HLOOKUP("BC",A1:CV300,59,FALSE))</f>
      </c>
      <c r="AH59" s="19770">
        <f>HLOOKUP("BC",A1:CV300,59,FALSE) - HLOOKUP("BC Miss",A1:CV300,59,FALSE)</f>
      </c>
      <c r="AI59" s="19771">
        <f>IF(HLOOKUP("Gs",A1:CV300,59,FALSE)=0,0,HLOOKUP("Gs - BC",A1:CV300,59,FALSE)/HLOOKUP("Gs",A1:CV300,59,FALSE))</f>
      </c>
      <c r="AJ59" t="n" s="19772">
        <v>0.0</v>
      </c>
      <c r="AK59" t="n" s="19773">
        <v>0.0</v>
      </c>
      <c r="AL59" s="19774">
        <f>HLOOKUP("BC",A1:CV300,59,FALSE) - (HLOOKUP("PK Gs",A1:CV300,59,FALSE) + HLOOKUP("PK Miss",A1:CV300,59,FALSE))</f>
      </c>
      <c r="AM59" s="19775">
        <f>HLOOKUP("BC Miss",A1:CV300,59,FALSE) - HLOOKUP("PK Miss",A1:CV300,59,FALSE)</f>
      </c>
      <c r="AN59" s="19776">
        <f>IF(HLOOKUP("BC - Open",A1:CV300,59,FALSE)=0,0,HLOOKUP("BC - Open Miss",A1:CV300,59,FALSE)/HLOOKUP("BC - Open",A1:CV300,59,FALSE))</f>
      </c>
      <c r="AO59" t="n" s="19777">
        <v>1.0</v>
      </c>
      <c r="AP59" s="19778">
        <f>IF(HLOOKUP("Gs",A1:CV300,59,FALSE)=0,0,HLOOKUP("GIB",A1:CV300,59,FALSE)/HLOOKUP("Gs",A1:CV300,59,FALSE))</f>
      </c>
      <c r="AQ59" t="n" s="19779">
        <v>1.0</v>
      </c>
      <c r="AR59" s="19780">
        <f>IF(HLOOKUP("Gs",A1:CV300,59,FALSE)=0,0,HLOOKUP("Gs - Open",A1:CV300,59,FALSE)/HLOOKUP("Gs",A1:CV300,59,FALSE))</f>
      </c>
      <c r="AS59" t="n" s="19781">
        <v>0.76</v>
      </c>
      <c r="AT59" t="n" s="19782">
        <v>1.62</v>
      </c>
      <c r="AU59" s="19783">
        <f>IF(HLOOKUP("Mins",A1:CV300,59,FALSE)=0,0,HLOOKUP("Pts",A1:CV300,59,FALSE)/HLOOKUP("Mins",A1:CV300,59,FALSE)* 90)</f>
      </c>
      <c r="AV59" s="19784">
        <f>IF(HLOOKUP("Apps",A1:CV300,59,FALSE)=0,0,HLOOKUP("Pts",A1:CV300,59,FALSE)/HLOOKUP("Apps",A1:CV300,59,FALSE)* 1)</f>
      </c>
      <c r="AW59" s="19785">
        <f>IF(HLOOKUP("Mins",A1:CV300,59,FALSE)=0,0,HLOOKUP("Gs",A1:CV300,59,FALSE)/HLOOKUP("Mins",A1:CV300,59,FALSE)* 90)</f>
      </c>
      <c r="AX59" s="19786">
        <f>IF(HLOOKUP("Mins",A1:CV300,59,FALSE)=0,0,HLOOKUP("Bonus",A1:CV300,59,FALSE)/HLOOKUP("Mins",A1:CV300,59,FALSE)* 90)</f>
      </c>
      <c r="AY59" s="19787">
        <f>IF(HLOOKUP("Mins",A1:CV300,59,FALSE)=0,0,HLOOKUP("BPS",A1:CV300,59,FALSE)/HLOOKUP("Mins",A1:CV300,59,FALSE)* 90)</f>
      </c>
      <c r="AZ59" s="19788">
        <f>IF(HLOOKUP("Mins",A1:CV300,59,FALSE)=0,0,HLOOKUP("Base BPS",A1:CV300,59,FALSE)/HLOOKUP("Mins",A1:CV300,59,FALSE)* 90)</f>
      </c>
      <c r="BA59" s="19789">
        <f>IF(HLOOKUP("Mins",A1:CV300,59,FALSE)=0,0,HLOOKUP("PenTchs",A1:CV300,59,FALSE)/HLOOKUP("Mins",A1:CV300,59,FALSE)* 90)</f>
      </c>
      <c r="BB59" s="19790">
        <f>IF(HLOOKUP("Mins",A1:CV300,59,FALSE)=0,0,HLOOKUP("Shots",A1:CV300,59,FALSE)/HLOOKUP("Mins",A1:CV300,59,FALSE)* 90)</f>
      </c>
      <c r="BC59" s="19791">
        <f>IF(HLOOKUP("Mins",A1:CV300,59,FALSE)=0,0,HLOOKUP("SIB",A1:CV300,59,FALSE)/HLOOKUP("Mins",A1:CV300,59,FALSE)* 90)</f>
      </c>
      <c r="BD59" s="19792">
        <f>IF(HLOOKUP("Mins",A1:CV300,59,FALSE)=0,0,HLOOKUP("S6YD",A1:CV300,59,FALSE)/HLOOKUP("Mins",A1:CV300,59,FALSE)* 90)</f>
      </c>
      <c r="BE59" s="19793">
        <f>IF(HLOOKUP("Mins",A1:CV300,59,FALSE)=0,0,HLOOKUP("Headers",A1:CV300,59,FALSE)/HLOOKUP("Mins",A1:CV300,59,FALSE)* 90)</f>
      </c>
      <c r="BF59" s="19794">
        <f>IF(HLOOKUP("Mins",A1:CV300,59,FALSE)=0,0,HLOOKUP("SOT",A1:CV300,59,FALSE)/HLOOKUP("Mins",A1:CV300,59,FALSE)* 90)</f>
      </c>
      <c r="BG59" s="19795">
        <f>IF(HLOOKUP("Mins",A1:CV300,59,FALSE)=0,0,HLOOKUP("As",A1:CV300,59,FALSE)/HLOOKUP("Mins",A1:CV300,59,FALSE)* 90)</f>
      </c>
      <c r="BH59" s="19796">
        <f>IF(HLOOKUP("Mins",A1:CV300,59,FALSE)=0,0,HLOOKUP("FPL As",A1:CV300,59,FALSE)/HLOOKUP("Mins",A1:CV300,59,FALSE)* 90)</f>
      </c>
      <c r="BI59" s="19797">
        <f>IF(HLOOKUP("Mins",A1:CV300,59,FALSE)=0,0,HLOOKUP("BC Created",A1:CV300,59,FALSE)/HLOOKUP("Mins",A1:CV300,59,FALSE)* 90)</f>
      </c>
      <c r="BJ59" s="19798">
        <f>IF(HLOOKUP("Mins",A1:CV300,59,FALSE)=0,0,HLOOKUP("KP",A1:CV300,59,FALSE)/HLOOKUP("Mins",A1:CV300,59,FALSE)* 90)</f>
      </c>
      <c r="BK59" s="19799">
        <f>IF(HLOOKUP("Mins",A1:CV300,59,FALSE)=0,0,HLOOKUP("BC",A1:CV300,59,FALSE)/HLOOKUP("Mins",A1:CV300,59,FALSE)* 90)</f>
      </c>
      <c r="BL59" s="19800">
        <f>IF(HLOOKUP("Mins",A1:CV300,59,FALSE)=0,0,HLOOKUP("BC Miss",A1:CV300,59,FALSE)/HLOOKUP("Mins",A1:CV300,59,FALSE)* 90)</f>
      </c>
      <c r="BM59" s="19801">
        <f>IF(HLOOKUP("Mins",A1:CV300,59,FALSE)=0,0,HLOOKUP("Gs - BC",A1:CV300,59,FALSE)/HLOOKUP("Mins",A1:CV300,59,FALSE)* 90)</f>
      </c>
      <c r="BN59" s="19802">
        <f>IF(HLOOKUP("Mins",A1:CV300,59,FALSE)=0,0,HLOOKUP("GIB",A1:CV300,59,FALSE)/HLOOKUP("Mins",A1:CV300,59,FALSE)* 90)</f>
      </c>
      <c r="BO59" s="19803">
        <f>IF(HLOOKUP("Mins",A1:CV300,59,FALSE)=0,0,HLOOKUP("Gs - Open",A1:CV300,59,FALSE)/HLOOKUP("Mins",A1:CV300,59,FALSE)* 90)</f>
      </c>
      <c r="BP59" s="19804">
        <f>IF(HLOOKUP("Mins",A1:CV300,59,FALSE)=0,0,HLOOKUP("ICT Index",A1:CV300,59,FALSE)/HLOOKUP("Mins",A1:CV300,59,FALSE)* 90)</f>
      </c>
      <c r="BQ59" s="19805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19806">
        <f>0.0885*HLOOKUP("KP/90",A1:CV300,59,FALSE)</f>
      </c>
      <c r="BS59" s="19807">
        <f>5*HLOOKUP("xG/90",A1:CV300,59,FALSE)+3*HLOOKUP("xA/90",A1:CV300,59,FALSE)</f>
      </c>
      <c r="BT59" s="19808">
        <f>HLOOKUP("xPts/90",A1:CV300,59,FALSE)-(5*0.75*(HLOOKUP("PK Gs",A1:CV300,59,FALSE)+HLOOKUP("PK Miss",A1:CV300,59,FALSE))*90/HLOOKUP("Mins",A1:CV300,59,FALSE))</f>
      </c>
      <c r="BU59" s="19809">
        <f>IF(HLOOKUP("Mins",A1:CV300,59,FALSE)=0,0,HLOOKUP("fsXG",A1:CV300,59,FALSE)/HLOOKUP("Mins",A1:CV300,59,FALSE)* 90)</f>
      </c>
      <c r="BV59" s="19810">
        <f>IF(HLOOKUP("Mins",A1:CV300,59,FALSE)=0,0,HLOOKUP("fsXA",A1:CV300,59,FALSE)/HLOOKUP("Mins",A1:CV300,59,FALSE)* 90)</f>
      </c>
      <c r="BW59" s="19811">
        <f>5*HLOOKUP("fsXG/90",A1:CV300,59,FALSE)+3*HLOOKUP("fsXA/90",A1:CV300,59,FALSE)</f>
      </c>
      <c r="BX59" t="n" s="19812">
        <v>0.13097117841243744</v>
      </c>
      <c r="BY59" t="n" s="19813">
        <v>0.2019425332546234</v>
      </c>
      <c r="BZ59" s="19814">
        <f>5*HLOOKUP("uXG/90",A1:CV300,59,FALSE)+3*HLOOKUP("uXA/90",A1:CV300,59,FALSE)</f>
      </c>
    </row>
    <row r="60">
      <c r="A60" t="s" s="19815">
        <v>351</v>
      </c>
      <c r="B60" t="s" s="19816">
        <v>127</v>
      </c>
      <c r="C60" t="n" s="19817">
        <v>12.300000190734863</v>
      </c>
      <c r="D60" t="n" s="19818">
        <v>428.0</v>
      </c>
      <c r="E60" t="n" s="19819">
        <v>5.0</v>
      </c>
      <c r="F60" t="n" s="19820">
        <v>126.0</v>
      </c>
      <c r="G60" t="n" s="19821">
        <v>3.0</v>
      </c>
      <c r="H60" t="n" s="19822">
        <v>15.0</v>
      </c>
      <c r="I60" t="n" s="19823">
        <v>344.0</v>
      </c>
      <c r="J60" s="19824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19825">
        <v>0.0</v>
      </c>
      <c r="L60" t="n" s="19826">
        <v>10.0</v>
      </c>
      <c r="M60" t="n" s="19827">
        <v>52.0</v>
      </c>
      <c r="N60" t="n" s="19828">
        <v>19.0</v>
      </c>
      <c r="O60" t="n" s="19829">
        <v>16.0</v>
      </c>
      <c r="P60" s="19830">
        <f>IF(HLOOKUP("Shots",A1:CV300,60,FALSE)=0,0,HLOOKUP("SIB",A1:CV300,60,FALSE)/HLOOKUP("Shots",A1:CV300,60,FALSE))</f>
      </c>
      <c r="Q60" t="n" s="19831">
        <v>1.0</v>
      </c>
      <c r="R60" s="19832">
        <f>IF(HLOOKUP("Shots",A1:CV300,60,FALSE)=0,0,HLOOKUP("S6YD",A1:CV300,60,FALSE)/HLOOKUP("Shots",A1:CV300,60,FALSE))</f>
      </c>
      <c r="S60" t="n" s="19833">
        <v>0.0</v>
      </c>
      <c r="T60" s="19834">
        <f>IF(HLOOKUP("Shots",A1:CV300,60,FALSE)=0,0,HLOOKUP("Headers",A1:CV300,60,FALSE)/HLOOKUP("Shots",A1:CV300,60,FALSE))</f>
      </c>
      <c r="U60" t="n" s="19835">
        <v>8.0</v>
      </c>
      <c r="V60" s="19836">
        <f>IF(HLOOKUP("Shots",A1:CV300,60,FALSE)=0,0,HLOOKUP("SOT",A1:CV300,60,FALSE)/HLOOKUP("Shots",A1:CV300,60,FALSE))</f>
      </c>
      <c r="W60" s="19837">
        <f>IF(HLOOKUP("Shots",A1:CV300,60,FALSE)=0,0,HLOOKUP("Gs",A1:CV300,60,FALSE)/HLOOKUP("Shots",A1:CV300,60,FALSE))</f>
      </c>
      <c r="X60" t="n" s="19838">
        <v>1.0</v>
      </c>
      <c r="Y60" t="n" s="19839">
        <v>5.0</v>
      </c>
      <c r="Z60" t="n" s="19840">
        <v>10.0</v>
      </c>
      <c r="AA60" s="19841">
        <f>IF(HLOOKUP("KP",A1:CV300,60,FALSE)=0,0,HLOOKUP("As",A1:CV300,60,FALSE)/HLOOKUP("KP",A1:CV300,60,FALSE))</f>
      </c>
      <c r="AB60" s="19842"/>
      <c r="AC60" t="n" s="19843">
        <v>57.0</v>
      </c>
      <c r="AD60" t="n" s="19844">
        <v>3.0</v>
      </c>
      <c r="AE60" t="n" s="19845">
        <v>3.0</v>
      </c>
      <c r="AF60" t="n" s="19846">
        <v>1.0</v>
      </c>
      <c r="AG60" s="19847">
        <f>IF(HLOOKUP("BC",A1:CV300,60,FALSE)=0,0,HLOOKUP("Gs - BC",A1:CV300,60,FALSE)/HLOOKUP("BC",A1:CV300,60,FALSE))</f>
      </c>
      <c r="AH60" s="19848">
        <f>HLOOKUP("BC",A1:CV300,60,FALSE) - HLOOKUP("BC Miss",A1:CV300,60,FALSE)</f>
      </c>
      <c r="AI60" s="19849">
        <f>IF(HLOOKUP("Gs",A1:CV300,60,FALSE)=0,0,HLOOKUP("Gs - BC",A1:CV300,60,FALSE)/HLOOKUP("Gs",A1:CV300,60,FALSE))</f>
      </c>
      <c r="AJ60" t="n" s="19850">
        <v>0.0</v>
      </c>
      <c r="AK60" t="n" s="19851">
        <v>0.0</v>
      </c>
      <c r="AL60" s="19852">
        <f>HLOOKUP("BC",A1:CV300,60,FALSE) - (HLOOKUP("PK Gs",A1:CV300,60,FALSE) + HLOOKUP("PK Miss",A1:CV300,60,FALSE))</f>
      </c>
      <c r="AM60" s="19853">
        <f>HLOOKUP("BC Miss",A1:CV300,60,FALSE) - HLOOKUP("PK Miss",A1:CV300,60,FALSE)</f>
      </c>
      <c r="AN60" s="19854">
        <f>IF(HLOOKUP("BC - Open",A1:CV300,60,FALSE)=0,0,HLOOKUP("BC - Open Miss",A1:CV300,60,FALSE)/HLOOKUP("BC - Open",A1:CV300,60,FALSE))</f>
      </c>
      <c r="AO60" t="n" s="19855">
        <v>3.0</v>
      </c>
      <c r="AP60" s="19856">
        <f>IF(HLOOKUP("Gs",A1:CV300,60,FALSE)=0,0,HLOOKUP("GIB",A1:CV300,60,FALSE)/HLOOKUP("Gs",A1:CV300,60,FALSE))</f>
      </c>
      <c r="AQ60" t="n" s="19857">
        <v>2.0</v>
      </c>
      <c r="AR60" s="19858">
        <f>IF(HLOOKUP("Gs",A1:CV300,60,FALSE)=0,0,HLOOKUP("Gs - Open",A1:CV300,60,FALSE)/HLOOKUP("Gs",A1:CV300,60,FALSE))</f>
      </c>
      <c r="AS60" t="n" s="19859">
        <v>2.32</v>
      </c>
      <c r="AT60" t="n" s="19860">
        <v>1.55</v>
      </c>
      <c r="AU60" s="19861">
        <f>IF(HLOOKUP("Mins",A1:CV300,60,FALSE)=0,0,HLOOKUP("Pts",A1:CV300,60,FALSE)/HLOOKUP("Mins",A1:CV300,60,FALSE)* 90)</f>
      </c>
      <c r="AV60" s="19862">
        <f>IF(HLOOKUP("Apps",A1:CV300,60,FALSE)=0,0,HLOOKUP("Pts",A1:CV300,60,FALSE)/HLOOKUP("Apps",A1:CV300,60,FALSE)* 1)</f>
      </c>
      <c r="AW60" s="19863">
        <f>IF(HLOOKUP("Mins",A1:CV300,60,FALSE)=0,0,HLOOKUP("Gs",A1:CV300,60,FALSE)/HLOOKUP("Mins",A1:CV300,60,FALSE)* 90)</f>
      </c>
      <c r="AX60" s="19864">
        <f>IF(HLOOKUP("Mins",A1:CV300,60,FALSE)=0,0,HLOOKUP("Bonus",A1:CV300,60,FALSE)/HLOOKUP("Mins",A1:CV300,60,FALSE)* 90)</f>
      </c>
      <c r="AY60" s="19865">
        <f>IF(HLOOKUP("Mins",A1:CV300,60,FALSE)=0,0,HLOOKUP("BPS",A1:CV300,60,FALSE)/HLOOKUP("Mins",A1:CV300,60,FALSE)* 90)</f>
      </c>
      <c r="AZ60" s="19866">
        <f>IF(HLOOKUP("Mins",A1:CV300,60,FALSE)=0,0,HLOOKUP("Base BPS",A1:CV300,60,FALSE)/HLOOKUP("Mins",A1:CV300,60,FALSE)* 90)</f>
      </c>
      <c r="BA60" s="19867">
        <f>IF(HLOOKUP("Mins",A1:CV300,60,FALSE)=0,0,HLOOKUP("PenTchs",A1:CV300,60,FALSE)/HLOOKUP("Mins",A1:CV300,60,FALSE)* 90)</f>
      </c>
      <c r="BB60" s="19868">
        <f>IF(HLOOKUP("Mins",A1:CV300,60,FALSE)=0,0,HLOOKUP("Shots",A1:CV300,60,FALSE)/HLOOKUP("Mins",A1:CV300,60,FALSE)* 90)</f>
      </c>
      <c r="BC60" s="19869">
        <f>IF(HLOOKUP("Mins",A1:CV300,60,FALSE)=0,0,HLOOKUP("SIB",A1:CV300,60,FALSE)/HLOOKUP("Mins",A1:CV300,60,FALSE)* 90)</f>
      </c>
      <c r="BD60" s="19870">
        <f>IF(HLOOKUP("Mins",A1:CV300,60,FALSE)=0,0,HLOOKUP("S6YD",A1:CV300,60,FALSE)/HLOOKUP("Mins",A1:CV300,60,FALSE)* 90)</f>
      </c>
      <c r="BE60" s="19871">
        <f>IF(HLOOKUP("Mins",A1:CV300,60,FALSE)=0,0,HLOOKUP("Headers",A1:CV300,60,FALSE)/HLOOKUP("Mins",A1:CV300,60,FALSE)* 90)</f>
      </c>
      <c r="BF60" s="19872">
        <f>IF(HLOOKUP("Mins",A1:CV300,60,FALSE)=0,0,HLOOKUP("SOT",A1:CV300,60,FALSE)/HLOOKUP("Mins",A1:CV300,60,FALSE)* 90)</f>
      </c>
      <c r="BG60" s="19873">
        <f>IF(HLOOKUP("Mins",A1:CV300,60,FALSE)=0,0,HLOOKUP("As",A1:CV300,60,FALSE)/HLOOKUP("Mins",A1:CV300,60,FALSE)* 90)</f>
      </c>
      <c r="BH60" s="19874">
        <f>IF(HLOOKUP("Mins",A1:CV300,60,FALSE)=0,0,HLOOKUP("FPL As",A1:CV300,60,FALSE)/HLOOKUP("Mins",A1:CV300,60,FALSE)* 90)</f>
      </c>
      <c r="BI60" s="19875">
        <f>IF(HLOOKUP("Mins",A1:CV300,60,FALSE)=0,0,HLOOKUP("BC Created",A1:CV300,60,FALSE)/HLOOKUP("Mins",A1:CV300,60,FALSE)* 90)</f>
      </c>
      <c r="BJ60" s="19876">
        <f>IF(HLOOKUP("Mins",A1:CV300,60,FALSE)=0,0,HLOOKUP("KP",A1:CV300,60,FALSE)/HLOOKUP("Mins",A1:CV300,60,FALSE)* 90)</f>
      </c>
      <c r="BK60" s="19877">
        <f>IF(HLOOKUP("Mins",A1:CV300,60,FALSE)=0,0,HLOOKUP("BC",A1:CV300,60,FALSE)/HLOOKUP("Mins",A1:CV300,60,FALSE)* 90)</f>
      </c>
      <c r="BL60" s="19878">
        <f>IF(HLOOKUP("Mins",A1:CV300,60,FALSE)=0,0,HLOOKUP("BC Miss",A1:CV300,60,FALSE)/HLOOKUP("Mins",A1:CV300,60,FALSE)* 90)</f>
      </c>
      <c r="BM60" s="19879">
        <f>IF(HLOOKUP("Mins",A1:CV300,60,FALSE)=0,0,HLOOKUP("Gs - BC",A1:CV300,60,FALSE)/HLOOKUP("Mins",A1:CV300,60,FALSE)* 90)</f>
      </c>
      <c r="BN60" s="19880">
        <f>IF(HLOOKUP("Mins",A1:CV300,60,FALSE)=0,0,HLOOKUP("GIB",A1:CV300,60,FALSE)/HLOOKUP("Mins",A1:CV300,60,FALSE)* 90)</f>
      </c>
      <c r="BO60" s="19881">
        <f>IF(HLOOKUP("Mins",A1:CV300,60,FALSE)=0,0,HLOOKUP("Gs - Open",A1:CV300,60,FALSE)/HLOOKUP("Mins",A1:CV300,60,FALSE)* 90)</f>
      </c>
      <c r="BP60" s="19882">
        <f>IF(HLOOKUP("Mins",A1:CV300,60,FALSE)=0,0,HLOOKUP("ICT Index",A1:CV300,60,FALSE)/HLOOKUP("Mins",A1:CV300,60,FALSE)* 90)</f>
      </c>
      <c r="BQ60" s="19883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19884">
        <f>0.0885*HLOOKUP("KP/90",A1:CV300,60,FALSE)</f>
      </c>
      <c r="BS60" s="19885">
        <f>5*HLOOKUP("xG/90",A1:CV300,60,FALSE)+3*HLOOKUP("xA/90",A1:CV300,60,FALSE)</f>
      </c>
      <c r="BT60" s="19886">
        <f>HLOOKUP("xPts/90",A1:CV300,60,FALSE)-(5*0.75*(HLOOKUP("PK Gs",A1:CV300,60,FALSE)+HLOOKUP("PK Miss",A1:CV300,60,FALSE))*90/HLOOKUP("Mins",A1:CV300,60,FALSE))</f>
      </c>
      <c r="BU60" s="19887">
        <f>IF(HLOOKUP("Mins",A1:CV300,60,FALSE)=0,0,HLOOKUP("fsXG",A1:CV300,60,FALSE)/HLOOKUP("Mins",A1:CV300,60,FALSE)* 90)</f>
      </c>
      <c r="BV60" s="19888">
        <f>IF(HLOOKUP("Mins",A1:CV300,60,FALSE)=0,0,HLOOKUP("fsXA",A1:CV300,60,FALSE)/HLOOKUP("Mins",A1:CV300,60,FALSE)* 90)</f>
      </c>
      <c r="BW60" s="19889">
        <f>5*HLOOKUP("fsXG/90",A1:CV300,60,FALSE)+3*HLOOKUP("fsXA/90",A1:CV300,60,FALSE)</f>
      </c>
      <c r="BX60" t="n" s="19890">
        <v>0.56092768907547</v>
      </c>
      <c r="BY60" t="n" s="19891">
        <v>0.4667312204837799</v>
      </c>
      <c r="BZ60" s="19892">
        <f>5*HLOOKUP("uXG/90",A1:CV300,60,FALSE)+3*HLOOKUP("uXA/90",A1:CV300,60,FALSE)</f>
      </c>
    </row>
    <row r="61">
      <c r="A61" t="s" s="19893">
        <v>352</v>
      </c>
      <c r="B61" t="s" s="19894">
        <v>94</v>
      </c>
      <c r="C61" t="n" s="19895">
        <v>7.099999904632568</v>
      </c>
      <c r="D61" t="n" s="19896">
        <v>464.0</v>
      </c>
      <c r="E61" t="n" s="19897">
        <v>6.0</v>
      </c>
      <c r="F61" t="n" s="19898">
        <v>58.0</v>
      </c>
      <c r="G61" t="n" s="19899">
        <v>1.0</v>
      </c>
      <c r="H61" t="n" s="19900">
        <v>1.0</v>
      </c>
      <c r="I61" t="n" s="19901">
        <v>175.0</v>
      </c>
      <c r="J61" s="19902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19903">
        <v>0.0</v>
      </c>
      <c r="L61" t="n" s="19904">
        <v>1.0</v>
      </c>
      <c r="M61" t="n" s="19905">
        <v>18.0</v>
      </c>
      <c r="N61" t="n" s="19906">
        <v>13.0</v>
      </c>
      <c r="O61" t="n" s="19907">
        <v>7.0</v>
      </c>
      <c r="P61" s="19908">
        <f>IF(HLOOKUP("Shots",A1:CV300,61,FALSE)=0,0,HLOOKUP("SIB",A1:CV300,61,FALSE)/HLOOKUP("Shots",A1:CV300,61,FALSE))</f>
      </c>
      <c r="Q61" t="n" s="19909">
        <v>1.0</v>
      </c>
      <c r="R61" s="19910">
        <f>IF(HLOOKUP("Shots",A1:CV300,61,FALSE)=0,0,HLOOKUP("S6YD",A1:CV300,61,FALSE)/HLOOKUP("Shots",A1:CV300,61,FALSE))</f>
      </c>
      <c r="S61" t="n" s="19911">
        <v>2.0</v>
      </c>
      <c r="T61" s="19912">
        <f>IF(HLOOKUP("Shots",A1:CV300,61,FALSE)=0,0,HLOOKUP("Headers",A1:CV300,61,FALSE)/HLOOKUP("Shots",A1:CV300,61,FALSE))</f>
      </c>
      <c r="U61" t="n" s="19913">
        <v>1.0</v>
      </c>
      <c r="V61" s="19914">
        <f>IF(HLOOKUP("Shots",A1:CV300,61,FALSE)=0,0,HLOOKUP("SOT",A1:CV300,61,FALSE)/HLOOKUP("Shots",A1:CV300,61,FALSE))</f>
      </c>
      <c r="W61" s="19915">
        <f>IF(HLOOKUP("Shots",A1:CV300,61,FALSE)=0,0,HLOOKUP("Gs",A1:CV300,61,FALSE)/HLOOKUP("Shots",A1:CV300,61,FALSE))</f>
      </c>
      <c r="X61" t="n" s="19916">
        <v>0.0</v>
      </c>
      <c r="Y61" t="n" s="19917">
        <v>2.0</v>
      </c>
      <c r="Z61" t="n" s="19918">
        <v>8.0</v>
      </c>
      <c r="AA61" s="19919">
        <f>IF(HLOOKUP("KP",A1:CV300,61,FALSE)=0,0,HLOOKUP("As",A1:CV300,61,FALSE)/HLOOKUP("KP",A1:CV300,61,FALSE))</f>
      </c>
      <c r="AB61" s="19920"/>
      <c r="AC61" t="n" s="19921">
        <v>40.0</v>
      </c>
      <c r="AD61" t="n" s="19922">
        <v>0.0</v>
      </c>
      <c r="AE61" t="n" s="19923">
        <v>0.0</v>
      </c>
      <c r="AF61" t="n" s="19924">
        <v>0.0</v>
      </c>
      <c r="AG61" s="19925">
        <f>IF(HLOOKUP("BC",A1:CV300,61,FALSE)=0,0,HLOOKUP("Gs - BC",A1:CV300,61,FALSE)/HLOOKUP("BC",A1:CV300,61,FALSE))</f>
      </c>
      <c r="AH61" s="19926">
        <f>HLOOKUP("BC",A1:CV300,61,FALSE) - HLOOKUP("BC Miss",A1:CV300,61,FALSE)</f>
      </c>
      <c r="AI61" s="19927">
        <f>IF(HLOOKUP("Gs",A1:CV300,61,FALSE)=0,0,HLOOKUP("Gs - BC",A1:CV300,61,FALSE)/HLOOKUP("Gs",A1:CV300,61,FALSE))</f>
      </c>
      <c r="AJ61" t="n" s="19928">
        <v>0.0</v>
      </c>
      <c r="AK61" t="n" s="19929">
        <v>0.0</v>
      </c>
      <c r="AL61" s="19930">
        <f>HLOOKUP("BC",A1:CV300,61,FALSE) - (HLOOKUP("PK Gs",A1:CV300,61,FALSE) + HLOOKUP("PK Miss",A1:CV300,61,FALSE))</f>
      </c>
      <c r="AM61" s="19931">
        <f>HLOOKUP("BC Miss",A1:CV300,61,FALSE) - HLOOKUP("PK Miss",A1:CV300,61,FALSE)</f>
      </c>
      <c r="AN61" s="19932">
        <f>IF(HLOOKUP("BC - Open",A1:CV300,61,FALSE)=0,0,HLOOKUP("BC - Open Miss",A1:CV300,61,FALSE)/HLOOKUP("BC - Open",A1:CV300,61,FALSE))</f>
      </c>
      <c r="AO61" t="n" s="19933">
        <v>1.0</v>
      </c>
      <c r="AP61" s="19934">
        <f>IF(HLOOKUP("Gs",A1:CV300,61,FALSE)=0,0,HLOOKUP("GIB",A1:CV300,61,FALSE)/HLOOKUP("Gs",A1:CV300,61,FALSE))</f>
      </c>
      <c r="AQ61" t="n" s="19935">
        <v>1.0</v>
      </c>
      <c r="AR61" s="19936">
        <f>IF(HLOOKUP("Gs",A1:CV300,61,FALSE)=0,0,HLOOKUP("Gs - Open",A1:CV300,61,FALSE)/HLOOKUP("Gs",A1:CV300,61,FALSE))</f>
      </c>
      <c r="AS61" t="n" s="19937">
        <v>0.66</v>
      </c>
      <c r="AT61" t="n" s="19938">
        <v>0.47</v>
      </c>
      <c r="AU61" s="19939">
        <f>IF(HLOOKUP("Mins",A1:CV300,61,FALSE)=0,0,HLOOKUP("Pts",A1:CV300,61,FALSE)/HLOOKUP("Mins",A1:CV300,61,FALSE)* 90)</f>
      </c>
      <c r="AV61" s="19940">
        <f>IF(HLOOKUP("Apps",A1:CV300,61,FALSE)=0,0,HLOOKUP("Pts",A1:CV300,61,FALSE)/HLOOKUP("Apps",A1:CV300,61,FALSE)* 1)</f>
      </c>
      <c r="AW61" s="19941">
        <f>IF(HLOOKUP("Mins",A1:CV300,61,FALSE)=0,0,HLOOKUP("Gs",A1:CV300,61,FALSE)/HLOOKUP("Mins",A1:CV300,61,FALSE)* 90)</f>
      </c>
      <c r="AX61" s="19942">
        <f>IF(HLOOKUP("Mins",A1:CV300,61,FALSE)=0,0,HLOOKUP("Bonus",A1:CV300,61,FALSE)/HLOOKUP("Mins",A1:CV300,61,FALSE)* 90)</f>
      </c>
      <c r="AY61" s="19943">
        <f>IF(HLOOKUP("Mins",A1:CV300,61,FALSE)=0,0,HLOOKUP("BPS",A1:CV300,61,FALSE)/HLOOKUP("Mins",A1:CV300,61,FALSE)* 90)</f>
      </c>
      <c r="AZ61" s="19944">
        <f>IF(HLOOKUP("Mins",A1:CV300,61,FALSE)=0,0,HLOOKUP("Base BPS",A1:CV300,61,FALSE)/HLOOKUP("Mins",A1:CV300,61,FALSE)* 90)</f>
      </c>
      <c r="BA61" s="19945">
        <f>IF(HLOOKUP("Mins",A1:CV300,61,FALSE)=0,0,HLOOKUP("PenTchs",A1:CV300,61,FALSE)/HLOOKUP("Mins",A1:CV300,61,FALSE)* 90)</f>
      </c>
      <c r="BB61" s="19946">
        <f>IF(HLOOKUP("Mins",A1:CV300,61,FALSE)=0,0,HLOOKUP("Shots",A1:CV300,61,FALSE)/HLOOKUP("Mins",A1:CV300,61,FALSE)* 90)</f>
      </c>
      <c r="BC61" s="19947">
        <f>IF(HLOOKUP("Mins",A1:CV300,61,FALSE)=0,0,HLOOKUP("SIB",A1:CV300,61,FALSE)/HLOOKUP("Mins",A1:CV300,61,FALSE)* 90)</f>
      </c>
      <c r="BD61" s="19948">
        <f>IF(HLOOKUP("Mins",A1:CV300,61,FALSE)=0,0,HLOOKUP("S6YD",A1:CV300,61,FALSE)/HLOOKUP("Mins",A1:CV300,61,FALSE)* 90)</f>
      </c>
      <c r="BE61" s="19949">
        <f>IF(HLOOKUP("Mins",A1:CV300,61,FALSE)=0,0,HLOOKUP("Headers",A1:CV300,61,FALSE)/HLOOKUP("Mins",A1:CV300,61,FALSE)* 90)</f>
      </c>
      <c r="BF61" s="19950">
        <f>IF(HLOOKUP("Mins",A1:CV300,61,FALSE)=0,0,HLOOKUP("SOT",A1:CV300,61,FALSE)/HLOOKUP("Mins",A1:CV300,61,FALSE)* 90)</f>
      </c>
      <c r="BG61" s="19951">
        <f>IF(HLOOKUP("Mins",A1:CV300,61,FALSE)=0,0,HLOOKUP("As",A1:CV300,61,FALSE)/HLOOKUP("Mins",A1:CV300,61,FALSE)* 90)</f>
      </c>
      <c r="BH61" s="19952">
        <f>IF(HLOOKUP("Mins",A1:CV300,61,FALSE)=0,0,HLOOKUP("FPL As",A1:CV300,61,FALSE)/HLOOKUP("Mins",A1:CV300,61,FALSE)* 90)</f>
      </c>
      <c r="BI61" s="19953">
        <f>IF(HLOOKUP("Mins",A1:CV300,61,FALSE)=0,0,HLOOKUP("BC Created",A1:CV300,61,FALSE)/HLOOKUP("Mins",A1:CV300,61,FALSE)* 90)</f>
      </c>
      <c r="BJ61" s="19954">
        <f>IF(HLOOKUP("Mins",A1:CV300,61,FALSE)=0,0,HLOOKUP("KP",A1:CV300,61,FALSE)/HLOOKUP("Mins",A1:CV300,61,FALSE)* 90)</f>
      </c>
      <c r="BK61" s="19955">
        <f>IF(HLOOKUP("Mins",A1:CV300,61,FALSE)=0,0,HLOOKUP("BC",A1:CV300,61,FALSE)/HLOOKUP("Mins",A1:CV300,61,FALSE)* 90)</f>
      </c>
      <c r="BL61" s="19956">
        <f>IF(HLOOKUP("Mins",A1:CV300,61,FALSE)=0,0,HLOOKUP("BC Miss",A1:CV300,61,FALSE)/HLOOKUP("Mins",A1:CV300,61,FALSE)* 90)</f>
      </c>
      <c r="BM61" s="19957">
        <f>IF(HLOOKUP("Mins",A1:CV300,61,FALSE)=0,0,HLOOKUP("Gs - BC",A1:CV300,61,FALSE)/HLOOKUP("Mins",A1:CV300,61,FALSE)* 90)</f>
      </c>
      <c r="BN61" s="19958">
        <f>IF(HLOOKUP("Mins",A1:CV300,61,FALSE)=0,0,HLOOKUP("GIB",A1:CV300,61,FALSE)/HLOOKUP("Mins",A1:CV300,61,FALSE)* 90)</f>
      </c>
      <c r="BO61" s="19959">
        <f>IF(HLOOKUP("Mins",A1:CV300,61,FALSE)=0,0,HLOOKUP("Gs - Open",A1:CV300,61,FALSE)/HLOOKUP("Mins",A1:CV300,61,FALSE)* 90)</f>
      </c>
      <c r="BP61" s="19960">
        <f>IF(HLOOKUP("Mins",A1:CV300,61,FALSE)=0,0,HLOOKUP("ICT Index",A1:CV300,61,FALSE)/HLOOKUP("Mins",A1:CV300,61,FALSE)* 90)</f>
      </c>
      <c r="BQ61" s="19961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19962">
        <f>0.0885*HLOOKUP("KP/90",A1:CV300,61,FALSE)</f>
      </c>
      <c r="BS61" s="19963">
        <f>5*HLOOKUP("xG/90",A1:CV300,61,FALSE)+3*HLOOKUP("xA/90",A1:CV300,61,FALSE)</f>
      </c>
      <c r="BT61" s="19964">
        <f>HLOOKUP("xPts/90",A1:CV300,61,FALSE)-(5*0.75*(HLOOKUP("PK Gs",A1:CV300,61,FALSE)+HLOOKUP("PK Miss",A1:CV300,61,FALSE))*90/HLOOKUP("Mins",A1:CV300,61,FALSE))</f>
      </c>
      <c r="BU61" s="19965">
        <f>IF(HLOOKUP("Mins",A1:CV300,61,FALSE)=0,0,HLOOKUP("fsXG",A1:CV300,61,FALSE)/HLOOKUP("Mins",A1:CV300,61,FALSE)* 90)</f>
      </c>
      <c r="BV61" s="19966">
        <f>IF(HLOOKUP("Mins",A1:CV300,61,FALSE)=0,0,HLOOKUP("fsXA",A1:CV300,61,FALSE)/HLOOKUP("Mins",A1:CV300,61,FALSE)* 90)</f>
      </c>
      <c r="BW61" s="19967">
        <f>5*HLOOKUP("fsXG/90",A1:CV300,61,FALSE)+3*HLOOKUP("fsXA/90",A1:CV300,61,FALSE)</f>
      </c>
      <c r="BX61" t="n" s="19968">
        <v>0.1126699224114418</v>
      </c>
      <c r="BY61" t="n" s="19969">
        <v>0.0844680517911911</v>
      </c>
      <c r="BZ61" s="19970">
        <f>5*HLOOKUP("uXG/90",A1:CV300,61,FALSE)+3*HLOOKUP("uXA/90",A1:CV300,61,FALSE)</f>
      </c>
    </row>
    <row r="62">
      <c r="A62" t="s" s="19971">
        <v>353</v>
      </c>
      <c r="B62" t="s" s="19972">
        <v>105</v>
      </c>
      <c r="C62" t="n" s="19973">
        <v>5.199999809265137</v>
      </c>
      <c r="D62" t="n" s="19974">
        <v>513.0</v>
      </c>
      <c r="E62" t="n" s="19975">
        <v>6.0</v>
      </c>
      <c r="F62" t="n" s="19976">
        <v>36.0</v>
      </c>
      <c r="G62" t="n" s="19977">
        <v>0.0</v>
      </c>
      <c r="H62" t="n" s="19978">
        <v>1.0</v>
      </c>
      <c r="I62" t="n" s="19979">
        <v>264.0</v>
      </c>
      <c r="J62" s="19980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19981">
        <v>0.0</v>
      </c>
      <c r="L62" t="n" s="19982">
        <v>7.0</v>
      </c>
      <c r="M62" t="n" s="19983">
        <v>1.0</v>
      </c>
      <c r="N62" t="n" s="19984">
        <v>1.0</v>
      </c>
      <c r="O62" t="n" s="19985">
        <v>1.0</v>
      </c>
      <c r="P62" s="19986">
        <f>IF(HLOOKUP("Shots",A1:CV300,62,FALSE)=0,0,HLOOKUP("SIB",A1:CV300,62,FALSE)/HLOOKUP("Shots",A1:CV300,62,FALSE))</f>
      </c>
      <c r="Q62" t="n" s="19987">
        <v>0.0</v>
      </c>
      <c r="R62" s="19988">
        <f>IF(HLOOKUP("Shots",A1:CV300,62,FALSE)=0,0,HLOOKUP("S6YD",A1:CV300,62,FALSE)/HLOOKUP("Shots",A1:CV300,62,FALSE))</f>
      </c>
      <c r="S62" t="n" s="19989">
        <v>1.0</v>
      </c>
      <c r="T62" s="19990">
        <f>IF(HLOOKUP("Shots",A1:CV300,62,FALSE)=0,0,HLOOKUP("Headers",A1:CV300,62,FALSE)/HLOOKUP("Shots",A1:CV300,62,FALSE))</f>
      </c>
      <c r="U62" t="n" s="19991">
        <v>0.0</v>
      </c>
      <c r="V62" s="19992">
        <f>IF(HLOOKUP("Shots",A1:CV300,62,FALSE)=0,0,HLOOKUP("SOT",A1:CV300,62,FALSE)/HLOOKUP("Shots",A1:CV300,62,FALSE))</f>
      </c>
      <c r="W62" s="19993">
        <f>IF(HLOOKUP("Shots",A1:CV300,62,FALSE)=0,0,HLOOKUP("Gs",A1:CV300,62,FALSE)/HLOOKUP("Shots",A1:CV300,62,FALSE))</f>
      </c>
      <c r="X62" t="n" s="19994">
        <v>0.0</v>
      </c>
      <c r="Y62" t="n" s="19995">
        <v>0.0</v>
      </c>
      <c r="Z62" t="n" s="19996">
        <v>1.0</v>
      </c>
      <c r="AA62" s="19997">
        <f>IF(HLOOKUP("KP",A1:CV300,62,FALSE)=0,0,HLOOKUP("As",A1:CV300,62,FALSE)/HLOOKUP("KP",A1:CV300,62,FALSE))</f>
      </c>
      <c r="AB62" s="19998"/>
      <c r="AC62" t="n" s="19999">
        <v>0.0</v>
      </c>
      <c r="AD62" t="n" s="20000">
        <v>0.0</v>
      </c>
      <c r="AE62" t="n" s="20001">
        <v>0.0</v>
      </c>
      <c r="AF62" t="n" s="20002">
        <v>0.0</v>
      </c>
      <c r="AG62" s="20003">
        <f>IF(HLOOKUP("BC",A1:CV300,62,FALSE)=0,0,HLOOKUP("Gs - BC",A1:CV300,62,FALSE)/HLOOKUP("BC",A1:CV300,62,FALSE))</f>
      </c>
      <c r="AH62" s="20004">
        <f>HLOOKUP("BC",A1:CV300,62,FALSE) - HLOOKUP("BC Miss",A1:CV300,62,FALSE)</f>
      </c>
      <c r="AI62" s="20005">
        <f>IF(HLOOKUP("Gs",A1:CV300,62,FALSE)=0,0,HLOOKUP("Gs - BC",A1:CV300,62,FALSE)/HLOOKUP("Gs",A1:CV300,62,FALSE))</f>
      </c>
      <c r="AJ62" t="n" s="20006">
        <v>0.0</v>
      </c>
      <c r="AK62" t="n" s="20007">
        <v>0.0</v>
      </c>
      <c r="AL62" s="20008">
        <f>HLOOKUP("BC",A1:CV300,62,FALSE) - (HLOOKUP("PK Gs",A1:CV300,62,FALSE) + HLOOKUP("PK Miss",A1:CV300,62,FALSE))</f>
      </c>
      <c r="AM62" s="20009">
        <f>HLOOKUP("BC Miss",A1:CV300,62,FALSE) - HLOOKUP("PK Miss",A1:CV300,62,FALSE)</f>
      </c>
      <c r="AN62" s="20010">
        <f>IF(HLOOKUP("BC - Open",A1:CV300,62,FALSE)=0,0,HLOOKUP("BC - Open Miss",A1:CV300,62,FALSE)/HLOOKUP("BC - Open",A1:CV300,62,FALSE))</f>
      </c>
      <c r="AO62" t="n" s="20011">
        <v>0.0</v>
      </c>
      <c r="AP62" s="20012">
        <f>IF(HLOOKUP("Gs",A1:CV300,62,FALSE)=0,0,HLOOKUP("GIB",A1:CV300,62,FALSE)/HLOOKUP("Gs",A1:CV300,62,FALSE))</f>
      </c>
      <c r="AQ62" t="n" s="20013">
        <v>0.0</v>
      </c>
      <c r="AR62" s="20014">
        <f>IF(HLOOKUP("Gs",A1:CV300,62,FALSE)=0,0,HLOOKUP("Gs - Open",A1:CV300,62,FALSE)/HLOOKUP("Gs",A1:CV300,62,FALSE))</f>
      </c>
      <c r="AS62" t="n" s="20015">
        <v>0.09</v>
      </c>
      <c r="AT62" t="n" s="20016">
        <v>0.09</v>
      </c>
      <c r="AU62" s="20017">
        <f>IF(HLOOKUP("Mins",A1:CV300,62,FALSE)=0,0,HLOOKUP("Pts",A1:CV300,62,FALSE)/HLOOKUP("Mins",A1:CV300,62,FALSE)* 90)</f>
      </c>
      <c r="AV62" s="20018">
        <f>IF(HLOOKUP("Apps",A1:CV300,62,FALSE)=0,0,HLOOKUP("Pts",A1:CV300,62,FALSE)/HLOOKUP("Apps",A1:CV300,62,FALSE)* 1)</f>
      </c>
      <c r="AW62" s="20019">
        <f>IF(HLOOKUP("Mins",A1:CV300,62,FALSE)=0,0,HLOOKUP("Gs",A1:CV300,62,FALSE)/HLOOKUP("Mins",A1:CV300,62,FALSE)* 90)</f>
      </c>
      <c r="AX62" s="20020">
        <f>IF(HLOOKUP("Mins",A1:CV300,62,FALSE)=0,0,HLOOKUP("Bonus",A1:CV300,62,FALSE)/HLOOKUP("Mins",A1:CV300,62,FALSE)* 90)</f>
      </c>
      <c r="AY62" s="20021">
        <f>IF(HLOOKUP("Mins",A1:CV300,62,FALSE)=0,0,HLOOKUP("BPS",A1:CV300,62,FALSE)/HLOOKUP("Mins",A1:CV300,62,FALSE)* 90)</f>
      </c>
      <c r="AZ62" s="20022">
        <f>IF(HLOOKUP("Mins",A1:CV300,62,FALSE)=0,0,HLOOKUP("Base BPS",A1:CV300,62,FALSE)/HLOOKUP("Mins",A1:CV300,62,FALSE)* 90)</f>
      </c>
      <c r="BA62" s="20023">
        <f>IF(HLOOKUP("Mins",A1:CV300,62,FALSE)=0,0,HLOOKUP("PenTchs",A1:CV300,62,FALSE)/HLOOKUP("Mins",A1:CV300,62,FALSE)* 90)</f>
      </c>
      <c r="BB62" s="20024">
        <f>IF(HLOOKUP("Mins",A1:CV300,62,FALSE)=0,0,HLOOKUP("Shots",A1:CV300,62,FALSE)/HLOOKUP("Mins",A1:CV300,62,FALSE)* 90)</f>
      </c>
      <c r="BC62" s="20025">
        <f>IF(HLOOKUP("Mins",A1:CV300,62,FALSE)=0,0,HLOOKUP("SIB",A1:CV300,62,FALSE)/HLOOKUP("Mins",A1:CV300,62,FALSE)* 90)</f>
      </c>
      <c r="BD62" s="20026">
        <f>IF(HLOOKUP("Mins",A1:CV300,62,FALSE)=0,0,HLOOKUP("S6YD",A1:CV300,62,FALSE)/HLOOKUP("Mins",A1:CV300,62,FALSE)* 90)</f>
      </c>
      <c r="BE62" s="20027">
        <f>IF(HLOOKUP("Mins",A1:CV300,62,FALSE)=0,0,HLOOKUP("Headers",A1:CV300,62,FALSE)/HLOOKUP("Mins",A1:CV300,62,FALSE)* 90)</f>
      </c>
      <c r="BF62" s="20028">
        <f>IF(HLOOKUP("Mins",A1:CV300,62,FALSE)=0,0,HLOOKUP("SOT",A1:CV300,62,FALSE)/HLOOKUP("Mins",A1:CV300,62,FALSE)* 90)</f>
      </c>
      <c r="BG62" s="20029">
        <f>IF(HLOOKUP("Mins",A1:CV300,62,FALSE)=0,0,HLOOKUP("As",A1:CV300,62,FALSE)/HLOOKUP("Mins",A1:CV300,62,FALSE)* 90)</f>
      </c>
      <c r="BH62" s="20030">
        <f>IF(HLOOKUP("Mins",A1:CV300,62,FALSE)=0,0,HLOOKUP("FPL As",A1:CV300,62,FALSE)/HLOOKUP("Mins",A1:CV300,62,FALSE)* 90)</f>
      </c>
      <c r="BI62" s="20031">
        <f>IF(HLOOKUP("Mins",A1:CV300,62,FALSE)=0,0,HLOOKUP("BC Created",A1:CV300,62,FALSE)/HLOOKUP("Mins",A1:CV300,62,FALSE)* 90)</f>
      </c>
      <c r="BJ62" s="20032">
        <f>IF(HLOOKUP("Mins",A1:CV300,62,FALSE)=0,0,HLOOKUP("KP",A1:CV300,62,FALSE)/HLOOKUP("Mins",A1:CV300,62,FALSE)* 90)</f>
      </c>
      <c r="BK62" s="20033">
        <f>IF(HLOOKUP("Mins",A1:CV300,62,FALSE)=0,0,HLOOKUP("BC",A1:CV300,62,FALSE)/HLOOKUP("Mins",A1:CV300,62,FALSE)* 90)</f>
      </c>
      <c r="BL62" s="20034">
        <f>IF(HLOOKUP("Mins",A1:CV300,62,FALSE)=0,0,HLOOKUP("BC Miss",A1:CV300,62,FALSE)/HLOOKUP("Mins",A1:CV300,62,FALSE)* 90)</f>
      </c>
      <c r="BM62" s="20035">
        <f>IF(HLOOKUP("Mins",A1:CV300,62,FALSE)=0,0,HLOOKUP("Gs - BC",A1:CV300,62,FALSE)/HLOOKUP("Mins",A1:CV300,62,FALSE)* 90)</f>
      </c>
      <c r="BN62" s="20036">
        <f>IF(HLOOKUP("Mins",A1:CV300,62,FALSE)=0,0,HLOOKUP("GIB",A1:CV300,62,FALSE)/HLOOKUP("Mins",A1:CV300,62,FALSE)* 90)</f>
      </c>
      <c r="BO62" s="20037">
        <f>IF(HLOOKUP("Mins",A1:CV300,62,FALSE)=0,0,HLOOKUP("Gs - Open",A1:CV300,62,FALSE)/HLOOKUP("Mins",A1:CV300,62,FALSE)* 90)</f>
      </c>
      <c r="BP62" s="20038">
        <f>IF(HLOOKUP("Mins",A1:CV300,62,FALSE)=0,0,HLOOKUP("ICT Index",A1:CV300,62,FALSE)/HLOOKUP("Mins",A1:CV300,62,FALSE)* 90)</f>
      </c>
      <c r="BQ62" s="20039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20040">
        <f>0.0885*HLOOKUP("KP/90",A1:CV300,62,FALSE)</f>
      </c>
      <c r="BS62" s="20041">
        <f>5*HLOOKUP("xG/90",A1:CV300,62,FALSE)+3*HLOOKUP("xA/90",A1:CV300,62,FALSE)</f>
      </c>
      <c r="BT62" s="20042">
        <f>HLOOKUP("xPts/90",A1:CV300,62,FALSE)-(5*0.75*(HLOOKUP("PK Gs",A1:CV300,62,FALSE)+HLOOKUP("PK Miss",A1:CV300,62,FALSE))*90/HLOOKUP("Mins",A1:CV300,62,FALSE))</f>
      </c>
      <c r="BU62" s="20043">
        <f>IF(HLOOKUP("Mins",A1:CV300,62,FALSE)=0,0,HLOOKUP("fsXG",A1:CV300,62,FALSE)/HLOOKUP("Mins",A1:CV300,62,FALSE)* 90)</f>
      </c>
      <c r="BV62" s="20044">
        <f>IF(HLOOKUP("Mins",A1:CV300,62,FALSE)=0,0,HLOOKUP("fsXA",A1:CV300,62,FALSE)/HLOOKUP("Mins",A1:CV300,62,FALSE)* 90)</f>
      </c>
      <c r="BW62" s="20045">
        <f>5*HLOOKUP("fsXG/90",A1:CV300,62,FALSE)+3*HLOOKUP("fsXA/90",A1:CV300,62,FALSE)</f>
      </c>
      <c r="BX62" t="n" s="20046">
        <v>0.009261353872716427</v>
      </c>
      <c r="BY62" t="n" s="20047">
        <v>0.011212916113436222</v>
      </c>
      <c r="BZ62" s="20048">
        <f>5*HLOOKUP("uXG/90",A1:CV300,62,FALSE)+3*HLOOKUP("uXA/90",A1:CV300,62,FALSE)</f>
      </c>
    </row>
    <row r="63">
      <c r="A63" t="s" s="20049">
        <v>354</v>
      </c>
      <c r="B63" t="s" s="20050">
        <v>112</v>
      </c>
      <c r="C63" t="n" s="20051">
        <v>5.300000190734863</v>
      </c>
      <c r="D63" t="n" s="20052">
        <v>17.0</v>
      </c>
      <c r="E63" t="n" s="20053">
        <v>1.0</v>
      </c>
      <c r="F63" t="n" s="20054">
        <v>49.0</v>
      </c>
      <c r="G63" t="n" s="20055">
        <v>0.0</v>
      </c>
      <c r="H63" t="n" s="20056">
        <v>8.0</v>
      </c>
      <c r="I63" t="n" s="20057">
        <v>156.0</v>
      </c>
      <c r="J63" s="20058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20059">
        <v>0.0</v>
      </c>
      <c r="L63" t="n" s="20060">
        <v>3.0</v>
      </c>
      <c r="M63" t="n" s="20061">
        <v>1.0</v>
      </c>
      <c r="N63" t="n" s="20062">
        <v>1.0</v>
      </c>
      <c r="O63" t="n" s="20063">
        <v>1.0</v>
      </c>
      <c r="P63" s="20064">
        <f>IF(HLOOKUP("Shots",A1:CV300,63,FALSE)=0,0,HLOOKUP("SIB",A1:CV300,63,FALSE)/HLOOKUP("Shots",A1:CV300,63,FALSE))</f>
      </c>
      <c r="Q63" t="n" s="20065">
        <v>0.0</v>
      </c>
      <c r="R63" s="20066">
        <f>IF(HLOOKUP("Shots",A1:CV300,63,FALSE)=0,0,HLOOKUP("S6YD",A1:CV300,63,FALSE)/HLOOKUP("Shots",A1:CV300,63,FALSE))</f>
      </c>
      <c r="S63" t="n" s="20067">
        <v>0.0</v>
      </c>
      <c r="T63" s="20068">
        <f>IF(HLOOKUP("Shots",A1:CV300,63,FALSE)=0,0,HLOOKUP("Headers",A1:CV300,63,FALSE)/HLOOKUP("Shots",A1:CV300,63,FALSE))</f>
      </c>
      <c r="U63" t="n" s="20069">
        <v>0.0</v>
      </c>
      <c r="V63" s="20070">
        <f>IF(HLOOKUP("Shots",A1:CV300,63,FALSE)=0,0,HLOOKUP("SOT",A1:CV300,63,FALSE)/HLOOKUP("Shots",A1:CV300,63,FALSE))</f>
      </c>
      <c r="W63" s="20071">
        <f>IF(HLOOKUP("Shots",A1:CV300,63,FALSE)=0,0,HLOOKUP("Gs",A1:CV300,63,FALSE)/HLOOKUP("Shots",A1:CV300,63,FALSE))</f>
      </c>
      <c r="X63" t="n" s="20072">
        <v>0.0</v>
      </c>
      <c r="Y63" t="n" s="20073">
        <v>1.0</v>
      </c>
      <c r="Z63" t="n" s="20074">
        <v>0.0</v>
      </c>
      <c r="AA63" s="20075">
        <f>IF(HLOOKUP("KP",A1:CV300,63,FALSE)=0,0,HLOOKUP("As",A1:CV300,63,FALSE)/HLOOKUP("KP",A1:CV300,63,FALSE))</f>
      </c>
      <c r="AB63" s="20076"/>
      <c r="AC63" t="n" s="20077">
        <v>0.0</v>
      </c>
      <c r="AD63" t="n" s="20078">
        <v>0.0</v>
      </c>
      <c r="AE63" t="n" s="20079">
        <v>0.0</v>
      </c>
      <c r="AF63" t="n" s="20080">
        <v>0.0</v>
      </c>
      <c r="AG63" s="20081">
        <f>IF(HLOOKUP("BC",A1:CV300,63,FALSE)=0,0,HLOOKUP("Gs - BC",A1:CV300,63,FALSE)/HLOOKUP("BC",A1:CV300,63,FALSE))</f>
      </c>
      <c r="AH63" s="20082">
        <f>HLOOKUP("BC",A1:CV300,63,FALSE) - HLOOKUP("BC Miss",A1:CV300,63,FALSE)</f>
      </c>
      <c r="AI63" s="20083">
        <f>IF(HLOOKUP("Gs",A1:CV300,63,FALSE)=0,0,HLOOKUP("Gs - BC",A1:CV300,63,FALSE)/HLOOKUP("Gs",A1:CV300,63,FALSE))</f>
      </c>
      <c r="AJ63" t="n" s="20084">
        <v>0.0</v>
      </c>
      <c r="AK63" t="n" s="20085">
        <v>0.0</v>
      </c>
      <c r="AL63" s="20086">
        <f>HLOOKUP("BC",A1:CV300,63,FALSE) - (HLOOKUP("PK Gs",A1:CV300,63,FALSE) + HLOOKUP("PK Miss",A1:CV300,63,FALSE))</f>
      </c>
      <c r="AM63" s="20087">
        <f>HLOOKUP("BC Miss",A1:CV300,63,FALSE) - HLOOKUP("PK Miss",A1:CV300,63,FALSE)</f>
      </c>
      <c r="AN63" s="20088">
        <f>IF(HLOOKUP("BC - Open",A1:CV300,63,FALSE)=0,0,HLOOKUP("BC - Open Miss",A1:CV300,63,FALSE)/HLOOKUP("BC - Open",A1:CV300,63,FALSE))</f>
      </c>
      <c r="AO63" t="n" s="20089">
        <v>0.0</v>
      </c>
      <c r="AP63" s="20090">
        <f>IF(HLOOKUP("Gs",A1:CV300,63,FALSE)=0,0,HLOOKUP("GIB",A1:CV300,63,FALSE)/HLOOKUP("Gs",A1:CV300,63,FALSE))</f>
      </c>
      <c r="AQ63" t="n" s="20091">
        <v>0.0</v>
      </c>
      <c r="AR63" s="20092">
        <f>IF(HLOOKUP("Gs",A1:CV300,63,FALSE)=0,0,HLOOKUP("Gs - Open",A1:CV300,63,FALSE)/HLOOKUP("Gs",A1:CV300,63,FALSE))</f>
      </c>
      <c r="AS63" t="n" s="20093">
        <v>0.18</v>
      </c>
      <c r="AT63" t="n" s="20094">
        <v>0.0</v>
      </c>
      <c r="AU63" s="20095">
        <f>IF(HLOOKUP("Mins",A1:CV300,63,FALSE)=0,0,HLOOKUP("Pts",A1:CV300,63,FALSE)/HLOOKUP("Mins",A1:CV300,63,FALSE)* 90)</f>
      </c>
      <c r="AV63" s="20096">
        <f>IF(HLOOKUP("Apps",A1:CV300,63,FALSE)=0,0,HLOOKUP("Pts",A1:CV300,63,FALSE)/HLOOKUP("Apps",A1:CV300,63,FALSE)* 1)</f>
      </c>
      <c r="AW63" s="20097">
        <f>IF(HLOOKUP("Mins",A1:CV300,63,FALSE)=0,0,HLOOKUP("Gs",A1:CV300,63,FALSE)/HLOOKUP("Mins",A1:CV300,63,FALSE)* 90)</f>
      </c>
      <c r="AX63" s="20098">
        <f>IF(HLOOKUP("Mins",A1:CV300,63,FALSE)=0,0,HLOOKUP("Bonus",A1:CV300,63,FALSE)/HLOOKUP("Mins",A1:CV300,63,FALSE)* 90)</f>
      </c>
      <c r="AY63" s="20099">
        <f>IF(HLOOKUP("Mins",A1:CV300,63,FALSE)=0,0,HLOOKUP("BPS",A1:CV300,63,FALSE)/HLOOKUP("Mins",A1:CV300,63,FALSE)* 90)</f>
      </c>
      <c r="AZ63" s="20100">
        <f>IF(HLOOKUP("Mins",A1:CV300,63,FALSE)=0,0,HLOOKUP("Base BPS",A1:CV300,63,FALSE)/HLOOKUP("Mins",A1:CV300,63,FALSE)* 90)</f>
      </c>
      <c r="BA63" s="20101">
        <f>IF(HLOOKUP("Mins",A1:CV300,63,FALSE)=0,0,HLOOKUP("PenTchs",A1:CV300,63,FALSE)/HLOOKUP("Mins",A1:CV300,63,FALSE)* 90)</f>
      </c>
      <c r="BB63" s="20102">
        <f>IF(HLOOKUP("Mins",A1:CV300,63,FALSE)=0,0,HLOOKUP("Shots",A1:CV300,63,FALSE)/HLOOKUP("Mins",A1:CV300,63,FALSE)* 90)</f>
      </c>
      <c r="BC63" s="20103">
        <f>IF(HLOOKUP("Mins",A1:CV300,63,FALSE)=0,0,HLOOKUP("SIB",A1:CV300,63,FALSE)/HLOOKUP("Mins",A1:CV300,63,FALSE)* 90)</f>
      </c>
      <c r="BD63" s="20104">
        <f>IF(HLOOKUP("Mins",A1:CV300,63,FALSE)=0,0,HLOOKUP("S6YD",A1:CV300,63,FALSE)/HLOOKUP("Mins",A1:CV300,63,FALSE)* 90)</f>
      </c>
      <c r="BE63" s="20105">
        <f>IF(HLOOKUP("Mins",A1:CV300,63,FALSE)=0,0,HLOOKUP("Headers",A1:CV300,63,FALSE)/HLOOKUP("Mins",A1:CV300,63,FALSE)* 90)</f>
      </c>
      <c r="BF63" s="20106">
        <f>IF(HLOOKUP("Mins",A1:CV300,63,FALSE)=0,0,HLOOKUP("SOT",A1:CV300,63,FALSE)/HLOOKUP("Mins",A1:CV300,63,FALSE)* 90)</f>
      </c>
      <c r="BG63" s="20107">
        <f>IF(HLOOKUP("Mins",A1:CV300,63,FALSE)=0,0,HLOOKUP("As",A1:CV300,63,FALSE)/HLOOKUP("Mins",A1:CV300,63,FALSE)* 90)</f>
      </c>
      <c r="BH63" s="20108">
        <f>IF(HLOOKUP("Mins",A1:CV300,63,FALSE)=0,0,HLOOKUP("FPL As",A1:CV300,63,FALSE)/HLOOKUP("Mins",A1:CV300,63,FALSE)* 90)</f>
      </c>
      <c r="BI63" s="20109">
        <f>IF(HLOOKUP("Mins",A1:CV300,63,FALSE)=0,0,HLOOKUP("BC Created",A1:CV300,63,FALSE)/HLOOKUP("Mins",A1:CV300,63,FALSE)* 90)</f>
      </c>
      <c r="BJ63" s="20110">
        <f>IF(HLOOKUP("Mins",A1:CV300,63,FALSE)=0,0,HLOOKUP("KP",A1:CV300,63,FALSE)/HLOOKUP("Mins",A1:CV300,63,FALSE)* 90)</f>
      </c>
      <c r="BK63" s="20111">
        <f>IF(HLOOKUP("Mins",A1:CV300,63,FALSE)=0,0,HLOOKUP("BC",A1:CV300,63,FALSE)/HLOOKUP("Mins",A1:CV300,63,FALSE)* 90)</f>
      </c>
      <c r="BL63" s="20112">
        <f>IF(HLOOKUP("Mins",A1:CV300,63,FALSE)=0,0,HLOOKUP("BC Miss",A1:CV300,63,FALSE)/HLOOKUP("Mins",A1:CV300,63,FALSE)* 90)</f>
      </c>
      <c r="BM63" s="20113">
        <f>IF(HLOOKUP("Mins",A1:CV300,63,FALSE)=0,0,HLOOKUP("Gs - BC",A1:CV300,63,FALSE)/HLOOKUP("Mins",A1:CV300,63,FALSE)* 90)</f>
      </c>
      <c r="BN63" s="20114">
        <f>IF(HLOOKUP("Mins",A1:CV300,63,FALSE)=0,0,HLOOKUP("GIB",A1:CV300,63,FALSE)/HLOOKUP("Mins",A1:CV300,63,FALSE)* 90)</f>
      </c>
      <c r="BO63" s="20115">
        <f>IF(HLOOKUP("Mins",A1:CV300,63,FALSE)=0,0,HLOOKUP("Gs - Open",A1:CV300,63,FALSE)/HLOOKUP("Mins",A1:CV300,63,FALSE)* 90)</f>
      </c>
      <c r="BP63" s="20116">
        <f>IF(HLOOKUP("Mins",A1:CV300,63,FALSE)=0,0,HLOOKUP("ICT Index",A1:CV300,63,FALSE)/HLOOKUP("Mins",A1:CV300,63,FALSE)* 90)</f>
      </c>
      <c r="BQ63" s="20117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20118">
        <f>0.0885*HLOOKUP("KP/90",A1:CV300,63,FALSE)</f>
      </c>
      <c r="BS63" s="20119">
        <f>5*HLOOKUP("xG/90",A1:CV300,63,FALSE)+3*HLOOKUP("xA/90",A1:CV300,63,FALSE)</f>
      </c>
      <c r="BT63" s="20120">
        <f>HLOOKUP("xPts/90",A1:CV300,63,FALSE)-(5*0.75*(HLOOKUP("PK Gs",A1:CV300,63,FALSE)+HLOOKUP("PK Miss",A1:CV300,63,FALSE))*90/HLOOKUP("Mins",A1:CV300,63,FALSE))</f>
      </c>
      <c r="BU63" s="20121">
        <f>IF(HLOOKUP("Mins",A1:CV300,63,FALSE)=0,0,HLOOKUP("fsXG",A1:CV300,63,FALSE)/HLOOKUP("Mins",A1:CV300,63,FALSE)* 90)</f>
      </c>
      <c r="BV63" s="20122">
        <f>IF(HLOOKUP("Mins",A1:CV300,63,FALSE)=0,0,HLOOKUP("fsXA",A1:CV300,63,FALSE)/HLOOKUP("Mins",A1:CV300,63,FALSE)* 90)</f>
      </c>
      <c r="BW63" s="20123">
        <f>5*HLOOKUP("fsXG/90",A1:CV300,63,FALSE)+3*HLOOKUP("fsXA/90",A1:CV300,63,FALSE)</f>
      </c>
      <c r="BX63" t="n" s="20124">
        <v>0.9237363338470459</v>
      </c>
      <c r="BY63" t="n" s="20125">
        <v>0.0</v>
      </c>
      <c r="BZ63" s="20126">
        <f>5*HLOOKUP("uXG/90",A1:CV300,63,FALSE)+3*HLOOKUP("uXA/90",A1:CV300,63,FALSE)</f>
      </c>
    </row>
    <row r="64">
      <c r="A64" t="s" s="20127">
        <v>355</v>
      </c>
      <c r="B64" t="s" s="20128">
        <v>80</v>
      </c>
      <c r="C64" t="n" s="20129">
        <v>7.199999809265137</v>
      </c>
      <c r="D64" t="n" s="20130">
        <v>370.0</v>
      </c>
      <c r="E64" t="n" s="20131">
        <v>5.0</v>
      </c>
      <c r="F64" t="n" s="20132">
        <v>32.0</v>
      </c>
      <c r="G64" t="n" s="20133">
        <v>0.0</v>
      </c>
      <c r="H64" t="n" s="20134">
        <v>1.0</v>
      </c>
      <c r="I64" t="n" s="20135">
        <v>151.0</v>
      </c>
      <c r="J64" s="20136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20137">
        <v>0.0</v>
      </c>
      <c r="L64" t="n" s="20138">
        <v>2.0</v>
      </c>
      <c r="M64" t="n" s="20139">
        <v>6.0</v>
      </c>
      <c r="N64" t="n" s="20140">
        <v>1.0</v>
      </c>
      <c r="O64" t="n" s="20141">
        <v>1.0</v>
      </c>
      <c r="P64" s="20142">
        <f>IF(HLOOKUP("Shots",A1:CV300,64,FALSE)=0,0,HLOOKUP("SIB",A1:CV300,64,FALSE)/HLOOKUP("Shots",A1:CV300,64,FALSE))</f>
      </c>
      <c r="Q64" t="n" s="20143">
        <v>0.0</v>
      </c>
      <c r="R64" s="20144">
        <f>IF(HLOOKUP("Shots",A1:CV300,64,FALSE)=0,0,HLOOKUP("S6YD",A1:CV300,64,FALSE)/HLOOKUP("Shots",A1:CV300,64,FALSE))</f>
      </c>
      <c r="S64" t="n" s="20145">
        <v>0.0</v>
      </c>
      <c r="T64" s="20146">
        <f>IF(HLOOKUP("Shots",A1:CV300,64,FALSE)=0,0,HLOOKUP("Headers",A1:CV300,64,FALSE)/HLOOKUP("Shots",A1:CV300,64,FALSE))</f>
      </c>
      <c r="U64" t="n" s="20147">
        <v>0.0</v>
      </c>
      <c r="V64" s="20148">
        <f>IF(HLOOKUP("Shots",A1:CV300,64,FALSE)=0,0,HLOOKUP("SOT",A1:CV300,64,FALSE)/HLOOKUP("Shots",A1:CV300,64,FALSE))</f>
      </c>
      <c r="W64" s="20149">
        <f>IF(HLOOKUP("Shots",A1:CV300,64,FALSE)=0,0,HLOOKUP("Gs",A1:CV300,64,FALSE)/HLOOKUP("Shots",A1:CV300,64,FALSE))</f>
      </c>
      <c r="X64" t="n" s="20150">
        <v>0.0</v>
      </c>
      <c r="Y64" t="n" s="20151">
        <v>2.0</v>
      </c>
      <c r="Z64" t="n" s="20152">
        <v>8.0</v>
      </c>
      <c r="AA64" s="20153">
        <f>IF(HLOOKUP("KP",A1:CV300,64,FALSE)=0,0,HLOOKUP("As",A1:CV300,64,FALSE)/HLOOKUP("KP",A1:CV300,64,FALSE))</f>
      </c>
      <c r="AB64" s="20154"/>
      <c r="AC64" t="n" s="20155">
        <v>0.0</v>
      </c>
      <c r="AD64" t="n" s="20156">
        <v>0.0</v>
      </c>
      <c r="AE64" t="n" s="20157">
        <v>0.0</v>
      </c>
      <c r="AF64" t="n" s="20158">
        <v>0.0</v>
      </c>
      <c r="AG64" s="20159">
        <f>IF(HLOOKUP("BC",A1:CV300,64,FALSE)=0,0,HLOOKUP("Gs - BC",A1:CV300,64,FALSE)/HLOOKUP("BC",A1:CV300,64,FALSE))</f>
      </c>
      <c r="AH64" s="20160">
        <f>HLOOKUP("BC",A1:CV300,64,FALSE) - HLOOKUP("BC Miss",A1:CV300,64,FALSE)</f>
      </c>
      <c r="AI64" s="20161">
        <f>IF(HLOOKUP("Gs",A1:CV300,64,FALSE)=0,0,HLOOKUP("Gs - BC",A1:CV300,64,FALSE)/HLOOKUP("Gs",A1:CV300,64,FALSE))</f>
      </c>
      <c r="AJ64" t="n" s="20162">
        <v>0.0</v>
      </c>
      <c r="AK64" t="n" s="20163">
        <v>0.0</v>
      </c>
      <c r="AL64" s="20164">
        <f>HLOOKUP("BC",A1:CV300,64,FALSE) - (HLOOKUP("PK Gs",A1:CV300,64,FALSE) + HLOOKUP("PK Miss",A1:CV300,64,FALSE))</f>
      </c>
      <c r="AM64" s="20165">
        <f>HLOOKUP("BC Miss",A1:CV300,64,FALSE) - HLOOKUP("PK Miss",A1:CV300,64,FALSE)</f>
      </c>
      <c r="AN64" s="20166">
        <f>IF(HLOOKUP("BC - Open",A1:CV300,64,FALSE)=0,0,HLOOKUP("BC - Open Miss",A1:CV300,64,FALSE)/HLOOKUP("BC - Open",A1:CV300,64,FALSE))</f>
      </c>
      <c r="AO64" t="n" s="20167">
        <v>0.0</v>
      </c>
      <c r="AP64" s="20168">
        <f>IF(HLOOKUP("Gs",A1:CV300,64,FALSE)=0,0,HLOOKUP("GIB",A1:CV300,64,FALSE)/HLOOKUP("Gs",A1:CV300,64,FALSE))</f>
      </c>
      <c r="AQ64" t="n" s="20169">
        <v>0.0</v>
      </c>
      <c r="AR64" s="20170">
        <f>IF(HLOOKUP("Gs",A1:CV300,64,FALSE)=0,0,HLOOKUP("Gs - Open",A1:CV300,64,FALSE)/HLOOKUP("Gs",A1:CV300,64,FALSE))</f>
      </c>
      <c r="AS64" t="n" s="20171">
        <v>0.11</v>
      </c>
      <c r="AT64" t="n" s="20172">
        <v>0.6</v>
      </c>
      <c r="AU64" s="20173">
        <f>IF(HLOOKUP("Mins",A1:CV300,64,FALSE)=0,0,HLOOKUP("Pts",A1:CV300,64,FALSE)/HLOOKUP("Mins",A1:CV300,64,FALSE)* 90)</f>
      </c>
      <c r="AV64" s="20174">
        <f>IF(HLOOKUP("Apps",A1:CV300,64,FALSE)=0,0,HLOOKUP("Pts",A1:CV300,64,FALSE)/HLOOKUP("Apps",A1:CV300,64,FALSE)* 1)</f>
      </c>
      <c r="AW64" s="20175">
        <f>IF(HLOOKUP("Mins",A1:CV300,64,FALSE)=0,0,HLOOKUP("Gs",A1:CV300,64,FALSE)/HLOOKUP("Mins",A1:CV300,64,FALSE)* 90)</f>
      </c>
      <c r="AX64" s="20176">
        <f>IF(HLOOKUP("Mins",A1:CV300,64,FALSE)=0,0,HLOOKUP("Bonus",A1:CV300,64,FALSE)/HLOOKUP("Mins",A1:CV300,64,FALSE)* 90)</f>
      </c>
      <c r="AY64" s="20177">
        <f>IF(HLOOKUP("Mins",A1:CV300,64,FALSE)=0,0,HLOOKUP("BPS",A1:CV300,64,FALSE)/HLOOKUP("Mins",A1:CV300,64,FALSE)* 90)</f>
      </c>
      <c r="AZ64" s="20178">
        <f>IF(HLOOKUP("Mins",A1:CV300,64,FALSE)=0,0,HLOOKUP("Base BPS",A1:CV300,64,FALSE)/HLOOKUP("Mins",A1:CV300,64,FALSE)* 90)</f>
      </c>
      <c r="BA64" s="20179">
        <f>IF(HLOOKUP("Mins",A1:CV300,64,FALSE)=0,0,HLOOKUP("PenTchs",A1:CV300,64,FALSE)/HLOOKUP("Mins",A1:CV300,64,FALSE)* 90)</f>
      </c>
      <c r="BB64" s="20180">
        <f>IF(HLOOKUP("Mins",A1:CV300,64,FALSE)=0,0,HLOOKUP("Shots",A1:CV300,64,FALSE)/HLOOKUP("Mins",A1:CV300,64,FALSE)* 90)</f>
      </c>
      <c r="BC64" s="20181">
        <f>IF(HLOOKUP("Mins",A1:CV300,64,FALSE)=0,0,HLOOKUP("SIB",A1:CV300,64,FALSE)/HLOOKUP("Mins",A1:CV300,64,FALSE)* 90)</f>
      </c>
      <c r="BD64" s="20182">
        <f>IF(HLOOKUP("Mins",A1:CV300,64,FALSE)=0,0,HLOOKUP("S6YD",A1:CV300,64,FALSE)/HLOOKUP("Mins",A1:CV300,64,FALSE)* 90)</f>
      </c>
      <c r="BE64" s="20183">
        <f>IF(HLOOKUP("Mins",A1:CV300,64,FALSE)=0,0,HLOOKUP("Headers",A1:CV300,64,FALSE)/HLOOKUP("Mins",A1:CV300,64,FALSE)* 90)</f>
      </c>
      <c r="BF64" s="20184">
        <f>IF(HLOOKUP("Mins",A1:CV300,64,FALSE)=0,0,HLOOKUP("SOT",A1:CV300,64,FALSE)/HLOOKUP("Mins",A1:CV300,64,FALSE)* 90)</f>
      </c>
      <c r="BG64" s="20185">
        <f>IF(HLOOKUP("Mins",A1:CV300,64,FALSE)=0,0,HLOOKUP("As",A1:CV300,64,FALSE)/HLOOKUP("Mins",A1:CV300,64,FALSE)* 90)</f>
      </c>
      <c r="BH64" s="20186">
        <f>IF(HLOOKUP("Mins",A1:CV300,64,FALSE)=0,0,HLOOKUP("FPL As",A1:CV300,64,FALSE)/HLOOKUP("Mins",A1:CV300,64,FALSE)* 90)</f>
      </c>
      <c r="BI64" s="20187">
        <f>IF(HLOOKUP("Mins",A1:CV300,64,FALSE)=0,0,HLOOKUP("BC Created",A1:CV300,64,FALSE)/HLOOKUP("Mins",A1:CV300,64,FALSE)* 90)</f>
      </c>
      <c r="BJ64" s="20188">
        <f>IF(HLOOKUP("Mins",A1:CV300,64,FALSE)=0,0,HLOOKUP("KP",A1:CV300,64,FALSE)/HLOOKUP("Mins",A1:CV300,64,FALSE)* 90)</f>
      </c>
      <c r="BK64" s="20189">
        <f>IF(HLOOKUP("Mins",A1:CV300,64,FALSE)=0,0,HLOOKUP("BC",A1:CV300,64,FALSE)/HLOOKUP("Mins",A1:CV300,64,FALSE)* 90)</f>
      </c>
      <c r="BL64" s="20190">
        <f>IF(HLOOKUP("Mins",A1:CV300,64,FALSE)=0,0,HLOOKUP("BC Miss",A1:CV300,64,FALSE)/HLOOKUP("Mins",A1:CV300,64,FALSE)* 90)</f>
      </c>
      <c r="BM64" s="20191">
        <f>IF(HLOOKUP("Mins",A1:CV300,64,FALSE)=0,0,HLOOKUP("Gs - BC",A1:CV300,64,FALSE)/HLOOKUP("Mins",A1:CV300,64,FALSE)* 90)</f>
      </c>
      <c r="BN64" s="20192">
        <f>IF(HLOOKUP("Mins",A1:CV300,64,FALSE)=0,0,HLOOKUP("GIB",A1:CV300,64,FALSE)/HLOOKUP("Mins",A1:CV300,64,FALSE)* 90)</f>
      </c>
      <c r="BO64" s="20193">
        <f>IF(HLOOKUP("Mins",A1:CV300,64,FALSE)=0,0,HLOOKUP("Gs - Open",A1:CV300,64,FALSE)/HLOOKUP("Mins",A1:CV300,64,FALSE)* 90)</f>
      </c>
      <c r="BP64" s="20194">
        <f>IF(HLOOKUP("Mins",A1:CV300,64,FALSE)=0,0,HLOOKUP("ICT Index",A1:CV300,64,FALSE)/HLOOKUP("Mins",A1:CV300,64,FALSE)* 90)</f>
      </c>
      <c r="BQ64" s="20195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20196">
        <f>0.0885*HLOOKUP("KP/90",A1:CV300,64,FALSE)</f>
      </c>
      <c r="BS64" s="20197">
        <f>5*HLOOKUP("xG/90",A1:CV300,64,FALSE)+3*HLOOKUP("xA/90",A1:CV300,64,FALSE)</f>
      </c>
      <c r="BT64" s="20198">
        <f>HLOOKUP("xPts/90",A1:CV300,64,FALSE)-(5*0.75*(HLOOKUP("PK Gs",A1:CV300,64,FALSE)+HLOOKUP("PK Miss",A1:CV300,64,FALSE))*90/HLOOKUP("Mins",A1:CV300,64,FALSE))</f>
      </c>
      <c r="BU64" s="20199">
        <f>IF(HLOOKUP("Mins",A1:CV300,64,FALSE)=0,0,HLOOKUP("fsXG",A1:CV300,64,FALSE)/HLOOKUP("Mins",A1:CV300,64,FALSE)* 90)</f>
      </c>
      <c r="BV64" s="20200">
        <f>IF(HLOOKUP("Mins",A1:CV300,64,FALSE)=0,0,HLOOKUP("fsXA",A1:CV300,64,FALSE)/HLOOKUP("Mins",A1:CV300,64,FALSE)* 90)</f>
      </c>
      <c r="BW64" s="20201">
        <f>5*HLOOKUP("fsXG/90",A1:CV300,64,FALSE)+3*HLOOKUP("fsXA/90",A1:CV300,64,FALSE)</f>
      </c>
      <c r="BX64" t="n" s="20202">
        <v>0.02564554661512375</v>
      </c>
      <c r="BY64" t="n" s="20203">
        <v>0.11759583652019501</v>
      </c>
      <c r="BZ64" s="20204">
        <f>5*HLOOKUP("uXG/90",A1:CV300,64,FALSE)+3*HLOOKUP("uXA/90",A1:CV300,64,FALSE)</f>
      </c>
    </row>
    <row r="65">
      <c r="A65" t="s" s="20205">
        <v>356</v>
      </c>
      <c r="B65" t="s" s="20206">
        <v>90</v>
      </c>
      <c r="C65" t="n" s="20207">
        <v>6.0</v>
      </c>
      <c r="D65" t="n" s="20208">
        <v>525.0</v>
      </c>
      <c r="E65" t="n" s="20209">
        <v>6.0</v>
      </c>
      <c r="F65" t="n" s="20210">
        <v>71.0</v>
      </c>
      <c r="G65" t="n" s="20211">
        <v>0.0</v>
      </c>
      <c r="H65" t="n" s="20212">
        <v>10.0</v>
      </c>
      <c r="I65" t="n" s="20213">
        <v>344.0</v>
      </c>
      <c r="J65" s="20214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20215">
        <v>0.0</v>
      </c>
      <c r="L65" t="n" s="20216">
        <v>1.0</v>
      </c>
      <c r="M65" t="n" s="20217">
        <v>8.0</v>
      </c>
      <c r="N65" t="n" s="20218">
        <v>8.0</v>
      </c>
      <c r="O65" t="n" s="20219">
        <v>2.0</v>
      </c>
      <c r="P65" s="20220">
        <f>IF(HLOOKUP("Shots",A1:CV300,65,FALSE)=0,0,HLOOKUP("SIB",A1:CV300,65,FALSE)/HLOOKUP("Shots",A1:CV300,65,FALSE))</f>
      </c>
      <c r="Q65" t="n" s="20221">
        <v>0.0</v>
      </c>
      <c r="R65" s="20222">
        <f>IF(HLOOKUP("Shots",A1:CV300,65,FALSE)=0,0,HLOOKUP("S6YD",A1:CV300,65,FALSE)/HLOOKUP("Shots",A1:CV300,65,FALSE))</f>
      </c>
      <c r="S65" t="n" s="20223">
        <v>0.0</v>
      </c>
      <c r="T65" s="20224">
        <f>IF(HLOOKUP("Shots",A1:CV300,65,FALSE)=0,0,HLOOKUP("Headers",A1:CV300,65,FALSE)/HLOOKUP("Shots",A1:CV300,65,FALSE))</f>
      </c>
      <c r="U65" t="n" s="20225">
        <v>3.0</v>
      </c>
      <c r="V65" s="20226">
        <f>IF(HLOOKUP("Shots",A1:CV300,65,FALSE)=0,0,HLOOKUP("SOT",A1:CV300,65,FALSE)/HLOOKUP("Shots",A1:CV300,65,FALSE))</f>
      </c>
      <c r="W65" s="20227">
        <f>IF(HLOOKUP("Shots",A1:CV300,65,FALSE)=0,0,HLOOKUP("Gs",A1:CV300,65,FALSE)/HLOOKUP("Shots",A1:CV300,65,FALSE))</f>
      </c>
      <c r="X65" t="n" s="20228">
        <v>3.0</v>
      </c>
      <c r="Y65" t="n" s="20229">
        <v>7.0</v>
      </c>
      <c r="Z65" t="n" s="20230">
        <v>28.0</v>
      </c>
      <c r="AA65" s="20231">
        <f>IF(HLOOKUP("KP",A1:CV300,65,FALSE)=0,0,HLOOKUP("As",A1:CV300,65,FALSE)/HLOOKUP("KP",A1:CV300,65,FALSE))</f>
      </c>
      <c r="AB65" s="20232"/>
      <c r="AC65" t="n" s="20233">
        <v>60.0</v>
      </c>
      <c r="AD65" t="n" s="20234">
        <v>4.0</v>
      </c>
      <c r="AE65" t="n" s="20235">
        <v>0.0</v>
      </c>
      <c r="AF65" t="n" s="20236">
        <v>0.0</v>
      </c>
      <c r="AG65" s="20237">
        <f>IF(HLOOKUP("BC",A1:CV300,65,FALSE)=0,0,HLOOKUP("Gs - BC",A1:CV300,65,FALSE)/HLOOKUP("BC",A1:CV300,65,FALSE))</f>
      </c>
      <c r="AH65" s="20238">
        <f>HLOOKUP("BC",A1:CV300,65,FALSE) - HLOOKUP("BC Miss",A1:CV300,65,FALSE)</f>
      </c>
      <c r="AI65" s="20239">
        <f>IF(HLOOKUP("Gs",A1:CV300,65,FALSE)=0,0,HLOOKUP("Gs - BC",A1:CV300,65,FALSE)/HLOOKUP("Gs",A1:CV300,65,FALSE))</f>
      </c>
      <c r="AJ65" t="n" s="20240">
        <v>0.0</v>
      </c>
      <c r="AK65" t="n" s="20241">
        <v>0.0</v>
      </c>
      <c r="AL65" s="20242">
        <f>HLOOKUP("BC",A1:CV300,65,FALSE) - (HLOOKUP("PK Gs",A1:CV300,65,FALSE) + HLOOKUP("PK Miss",A1:CV300,65,FALSE))</f>
      </c>
      <c r="AM65" s="20243">
        <f>HLOOKUP("BC Miss",A1:CV300,65,FALSE) - HLOOKUP("PK Miss",A1:CV300,65,FALSE)</f>
      </c>
      <c r="AN65" s="20244">
        <f>IF(HLOOKUP("BC - Open",A1:CV300,65,FALSE)=0,0,HLOOKUP("BC - Open Miss",A1:CV300,65,FALSE)/HLOOKUP("BC - Open",A1:CV300,65,FALSE))</f>
      </c>
      <c r="AO65" t="n" s="20245">
        <v>0.0</v>
      </c>
      <c r="AP65" s="20246">
        <f>IF(HLOOKUP("Gs",A1:CV300,65,FALSE)=0,0,HLOOKUP("GIB",A1:CV300,65,FALSE)/HLOOKUP("Gs",A1:CV300,65,FALSE))</f>
      </c>
      <c r="AQ65" t="n" s="20247">
        <v>0.0</v>
      </c>
      <c r="AR65" s="20248">
        <f>IF(HLOOKUP("Gs",A1:CV300,65,FALSE)=0,0,HLOOKUP("Gs - Open",A1:CV300,65,FALSE)/HLOOKUP("Gs",A1:CV300,65,FALSE))</f>
      </c>
      <c r="AS65" t="n" s="20249">
        <v>0.41</v>
      </c>
      <c r="AT65" t="n" s="20250">
        <v>1.85</v>
      </c>
      <c r="AU65" s="20251">
        <f>IF(HLOOKUP("Mins",A1:CV300,65,FALSE)=0,0,HLOOKUP("Pts",A1:CV300,65,FALSE)/HLOOKUP("Mins",A1:CV300,65,FALSE)* 90)</f>
      </c>
      <c r="AV65" s="20252">
        <f>IF(HLOOKUP("Apps",A1:CV300,65,FALSE)=0,0,HLOOKUP("Pts",A1:CV300,65,FALSE)/HLOOKUP("Apps",A1:CV300,65,FALSE)* 1)</f>
      </c>
      <c r="AW65" s="20253">
        <f>IF(HLOOKUP("Mins",A1:CV300,65,FALSE)=0,0,HLOOKUP("Gs",A1:CV300,65,FALSE)/HLOOKUP("Mins",A1:CV300,65,FALSE)* 90)</f>
      </c>
      <c r="AX65" s="20254">
        <f>IF(HLOOKUP("Mins",A1:CV300,65,FALSE)=0,0,HLOOKUP("Bonus",A1:CV300,65,FALSE)/HLOOKUP("Mins",A1:CV300,65,FALSE)* 90)</f>
      </c>
      <c r="AY65" s="20255">
        <f>IF(HLOOKUP("Mins",A1:CV300,65,FALSE)=0,0,HLOOKUP("BPS",A1:CV300,65,FALSE)/HLOOKUP("Mins",A1:CV300,65,FALSE)* 90)</f>
      </c>
      <c r="AZ65" s="20256">
        <f>IF(HLOOKUP("Mins",A1:CV300,65,FALSE)=0,0,HLOOKUP("Base BPS",A1:CV300,65,FALSE)/HLOOKUP("Mins",A1:CV300,65,FALSE)* 90)</f>
      </c>
      <c r="BA65" s="20257">
        <f>IF(HLOOKUP("Mins",A1:CV300,65,FALSE)=0,0,HLOOKUP("PenTchs",A1:CV300,65,FALSE)/HLOOKUP("Mins",A1:CV300,65,FALSE)* 90)</f>
      </c>
      <c r="BB65" s="20258">
        <f>IF(HLOOKUP("Mins",A1:CV300,65,FALSE)=0,0,HLOOKUP("Shots",A1:CV300,65,FALSE)/HLOOKUP("Mins",A1:CV300,65,FALSE)* 90)</f>
      </c>
      <c r="BC65" s="20259">
        <f>IF(HLOOKUP("Mins",A1:CV300,65,FALSE)=0,0,HLOOKUP("SIB",A1:CV300,65,FALSE)/HLOOKUP("Mins",A1:CV300,65,FALSE)* 90)</f>
      </c>
      <c r="BD65" s="20260">
        <f>IF(HLOOKUP("Mins",A1:CV300,65,FALSE)=0,0,HLOOKUP("S6YD",A1:CV300,65,FALSE)/HLOOKUP("Mins",A1:CV300,65,FALSE)* 90)</f>
      </c>
      <c r="BE65" s="20261">
        <f>IF(HLOOKUP("Mins",A1:CV300,65,FALSE)=0,0,HLOOKUP("Headers",A1:CV300,65,FALSE)/HLOOKUP("Mins",A1:CV300,65,FALSE)* 90)</f>
      </c>
      <c r="BF65" s="20262">
        <f>IF(HLOOKUP("Mins",A1:CV300,65,FALSE)=0,0,HLOOKUP("SOT",A1:CV300,65,FALSE)/HLOOKUP("Mins",A1:CV300,65,FALSE)* 90)</f>
      </c>
      <c r="BG65" s="20263">
        <f>IF(HLOOKUP("Mins",A1:CV300,65,FALSE)=0,0,HLOOKUP("As",A1:CV300,65,FALSE)/HLOOKUP("Mins",A1:CV300,65,FALSE)* 90)</f>
      </c>
      <c r="BH65" s="20264">
        <f>IF(HLOOKUP("Mins",A1:CV300,65,FALSE)=0,0,HLOOKUP("FPL As",A1:CV300,65,FALSE)/HLOOKUP("Mins",A1:CV300,65,FALSE)* 90)</f>
      </c>
      <c r="BI65" s="20265">
        <f>IF(HLOOKUP("Mins",A1:CV300,65,FALSE)=0,0,HLOOKUP("BC Created",A1:CV300,65,FALSE)/HLOOKUP("Mins",A1:CV300,65,FALSE)* 90)</f>
      </c>
      <c r="BJ65" s="20266">
        <f>IF(HLOOKUP("Mins",A1:CV300,65,FALSE)=0,0,HLOOKUP("KP",A1:CV300,65,FALSE)/HLOOKUP("Mins",A1:CV300,65,FALSE)* 90)</f>
      </c>
      <c r="BK65" s="20267">
        <f>IF(HLOOKUP("Mins",A1:CV300,65,FALSE)=0,0,HLOOKUP("BC",A1:CV300,65,FALSE)/HLOOKUP("Mins",A1:CV300,65,FALSE)* 90)</f>
      </c>
      <c r="BL65" s="20268">
        <f>IF(HLOOKUP("Mins",A1:CV300,65,FALSE)=0,0,HLOOKUP("BC Miss",A1:CV300,65,FALSE)/HLOOKUP("Mins",A1:CV300,65,FALSE)* 90)</f>
      </c>
      <c r="BM65" s="20269">
        <f>IF(HLOOKUP("Mins",A1:CV300,65,FALSE)=0,0,HLOOKUP("Gs - BC",A1:CV300,65,FALSE)/HLOOKUP("Mins",A1:CV300,65,FALSE)* 90)</f>
      </c>
      <c r="BN65" s="20270">
        <f>IF(HLOOKUP("Mins",A1:CV300,65,FALSE)=0,0,HLOOKUP("GIB",A1:CV300,65,FALSE)/HLOOKUP("Mins",A1:CV300,65,FALSE)* 90)</f>
      </c>
      <c r="BO65" s="20271">
        <f>IF(HLOOKUP("Mins",A1:CV300,65,FALSE)=0,0,HLOOKUP("Gs - Open",A1:CV300,65,FALSE)/HLOOKUP("Mins",A1:CV300,65,FALSE)* 90)</f>
      </c>
      <c r="BP65" s="20272">
        <f>IF(HLOOKUP("Mins",A1:CV300,65,FALSE)=0,0,HLOOKUP("ICT Index",A1:CV300,65,FALSE)/HLOOKUP("Mins",A1:CV300,65,FALSE)* 90)</f>
      </c>
      <c r="BQ65" s="20273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20274">
        <f>0.0885*HLOOKUP("KP/90",A1:CV300,65,FALSE)</f>
      </c>
      <c r="BS65" s="20275">
        <f>5*HLOOKUP("xG/90",A1:CV300,65,FALSE)+3*HLOOKUP("xA/90",A1:CV300,65,FALSE)</f>
      </c>
      <c r="BT65" s="20276">
        <f>HLOOKUP("xPts/90",A1:CV300,65,FALSE)-(5*0.75*(HLOOKUP("PK Gs",A1:CV300,65,FALSE)+HLOOKUP("PK Miss",A1:CV300,65,FALSE))*90/HLOOKUP("Mins",A1:CV300,65,FALSE))</f>
      </c>
      <c r="BU65" s="20277">
        <f>IF(HLOOKUP("Mins",A1:CV300,65,FALSE)=0,0,HLOOKUP("fsXG",A1:CV300,65,FALSE)/HLOOKUP("Mins",A1:CV300,65,FALSE)* 90)</f>
      </c>
      <c r="BV65" s="20278">
        <f>IF(HLOOKUP("Mins",A1:CV300,65,FALSE)=0,0,HLOOKUP("fsXA",A1:CV300,65,FALSE)/HLOOKUP("Mins",A1:CV300,65,FALSE)* 90)</f>
      </c>
      <c r="BW65" s="20279">
        <f>5*HLOOKUP("fsXG/90",A1:CV300,65,FALSE)+3*HLOOKUP("fsXA/90",A1:CV300,65,FALSE)</f>
      </c>
      <c r="BX65" t="n" s="20280">
        <v>0.06804640591144562</v>
      </c>
      <c r="BY65" t="n" s="20281">
        <v>0.49806085228919983</v>
      </c>
      <c r="BZ65" s="20282">
        <f>5*HLOOKUP("uXG/90",A1:CV300,65,FALSE)+3*HLOOKUP("uXA/90",A1:CV300,65,FALSE)</f>
      </c>
    </row>
    <row r="66">
      <c r="A66" t="s" s="20283">
        <v>357</v>
      </c>
      <c r="B66" t="s" s="20284">
        <v>114</v>
      </c>
      <c r="C66" t="n" s="20285">
        <v>5.300000190734863</v>
      </c>
      <c r="D66" t="n" s="20286">
        <v>454.0</v>
      </c>
      <c r="E66" t="n" s="20287">
        <v>6.0</v>
      </c>
      <c r="F66" t="n" s="20288">
        <v>36.0</v>
      </c>
      <c r="G66" t="n" s="20289">
        <v>0.0</v>
      </c>
      <c r="H66" t="n" s="20290">
        <v>3.0</v>
      </c>
      <c r="I66" t="n" s="20291">
        <v>130.0</v>
      </c>
      <c r="J66" s="20292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20293">
        <v>0.0</v>
      </c>
      <c r="L66" t="n" s="20294">
        <v>3.0</v>
      </c>
      <c r="M66" t="n" s="20295">
        <v>8.0</v>
      </c>
      <c r="N66" t="n" s="20296">
        <v>3.0</v>
      </c>
      <c r="O66" t="n" s="20297">
        <v>2.0</v>
      </c>
      <c r="P66" s="20298">
        <f>IF(HLOOKUP("Shots",A1:CV300,66,FALSE)=0,0,HLOOKUP("SIB",A1:CV300,66,FALSE)/HLOOKUP("Shots",A1:CV300,66,FALSE))</f>
      </c>
      <c r="Q66" t="n" s="20299">
        <v>0.0</v>
      </c>
      <c r="R66" s="20300">
        <f>IF(HLOOKUP("Shots",A1:CV300,66,FALSE)=0,0,HLOOKUP("S6YD",A1:CV300,66,FALSE)/HLOOKUP("Shots",A1:CV300,66,FALSE))</f>
      </c>
      <c r="S66" t="n" s="20301">
        <v>1.0</v>
      </c>
      <c r="T66" s="20302">
        <f>IF(HLOOKUP("Shots",A1:CV300,66,FALSE)=0,0,HLOOKUP("Headers",A1:CV300,66,FALSE)/HLOOKUP("Shots",A1:CV300,66,FALSE))</f>
      </c>
      <c r="U66" t="n" s="20303">
        <v>0.0</v>
      </c>
      <c r="V66" s="20304">
        <f>IF(HLOOKUP("Shots",A1:CV300,66,FALSE)=0,0,HLOOKUP("SOT",A1:CV300,66,FALSE)/HLOOKUP("Shots",A1:CV300,66,FALSE))</f>
      </c>
      <c r="W66" s="20305">
        <f>IF(HLOOKUP("Shots",A1:CV300,66,FALSE)=0,0,HLOOKUP("Gs",A1:CV300,66,FALSE)/HLOOKUP("Shots",A1:CV300,66,FALSE))</f>
      </c>
      <c r="X66" t="n" s="20306">
        <v>0.0</v>
      </c>
      <c r="Y66" t="n" s="20307">
        <v>1.0</v>
      </c>
      <c r="Z66" t="n" s="20308">
        <v>3.0</v>
      </c>
      <c r="AA66" s="20309">
        <f>IF(HLOOKUP("KP",A1:CV300,66,FALSE)=0,0,HLOOKUP("As",A1:CV300,66,FALSE)/HLOOKUP("KP",A1:CV300,66,FALSE))</f>
      </c>
      <c r="AB66" s="20310"/>
      <c r="AC66" t="n" s="20311">
        <v>0.0</v>
      </c>
      <c r="AD66" t="n" s="20312">
        <v>0.0</v>
      </c>
      <c r="AE66" t="n" s="20313">
        <v>0.0</v>
      </c>
      <c r="AF66" t="n" s="20314">
        <v>0.0</v>
      </c>
      <c r="AG66" s="20315">
        <f>IF(HLOOKUP("BC",A1:CV300,66,FALSE)=0,0,HLOOKUP("Gs - BC",A1:CV300,66,FALSE)/HLOOKUP("BC",A1:CV300,66,FALSE))</f>
      </c>
      <c r="AH66" s="20316">
        <f>HLOOKUP("BC",A1:CV300,66,FALSE) - HLOOKUP("BC Miss",A1:CV300,66,FALSE)</f>
      </c>
      <c r="AI66" s="20317">
        <f>IF(HLOOKUP("Gs",A1:CV300,66,FALSE)=0,0,HLOOKUP("Gs - BC",A1:CV300,66,FALSE)/HLOOKUP("Gs",A1:CV300,66,FALSE))</f>
      </c>
      <c r="AJ66" t="n" s="20318">
        <v>0.0</v>
      </c>
      <c r="AK66" t="n" s="20319">
        <v>0.0</v>
      </c>
      <c r="AL66" s="20320">
        <f>HLOOKUP("BC",A1:CV300,66,FALSE) - (HLOOKUP("PK Gs",A1:CV300,66,FALSE) + HLOOKUP("PK Miss",A1:CV300,66,FALSE))</f>
      </c>
      <c r="AM66" s="20321">
        <f>HLOOKUP("BC Miss",A1:CV300,66,FALSE) - HLOOKUP("PK Miss",A1:CV300,66,FALSE)</f>
      </c>
      <c r="AN66" s="20322">
        <f>IF(HLOOKUP("BC - Open",A1:CV300,66,FALSE)=0,0,HLOOKUP("BC - Open Miss",A1:CV300,66,FALSE)/HLOOKUP("BC - Open",A1:CV300,66,FALSE))</f>
      </c>
      <c r="AO66" t="n" s="20323">
        <v>0.0</v>
      </c>
      <c r="AP66" s="20324">
        <f>IF(HLOOKUP("Gs",A1:CV300,66,FALSE)=0,0,HLOOKUP("GIB",A1:CV300,66,FALSE)/HLOOKUP("Gs",A1:CV300,66,FALSE))</f>
      </c>
      <c r="AQ66" t="n" s="20325">
        <v>0.0</v>
      </c>
      <c r="AR66" s="20326">
        <f>IF(HLOOKUP("Gs",A1:CV300,66,FALSE)=0,0,HLOOKUP("Gs - Open",A1:CV300,66,FALSE)/HLOOKUP("Gs",A1:CV300,66,FALSE))</f>
      </c>
      <c r="AS66" t="n" s="20327">
        <v>0.13</v>
      </c>
      <c r="AT66" t="n" s="20328">
        <v>0.51</v>
      </c>
      <c r="AU66" s="20329">
        <f>IF(HLOOKUP("Mins",A1:CV300,66,FALSE)=0,0,HLOOKUP("Pts",A1:CV300,66,FALSE)/HLOOKUP("Mins",A1:CV300,66,FALSE)* 90)</f>
      </c>
      <c r="AV66" s="20330">
        <f>IF(HLOOKUP("Apps",A1:CV300,66,FALSE)=0,0,HLOOKUP("Pts",A1:CV300,66,FALSE)/HLOOKUP("Apps",A1:CV300,66,FALSE)* 1)</f>
      </c>
      <c r="AW66" s="20331">
        <f>IF(HLOOKUP("Mins",A1:CV300,66,FALSE)=0,0,HLOOKUP("Gs",A1:CV300,66,FALSE)/HLOOKUP("Mins",A1:CV300,66,FALSE)* 90)</f>
      </c>
      <c r="AX66" s="20332">
        <f>IF(HLOOKUP("Mins",A1:CV300,66,FALSE)=0,0,HLOOKUP("Bonus",A1:CV300,66,FALSE)/HLOOKUP("Mins",A1:CV300,66,FALSE)* 90)</f>
      </c>
      <c r="AY66" s="20333">
        <f>IF(HLOOKUP("Mins",A1:CV300,66,FALSE)=0,0,HLOOKUP("BPS",A1:CV300,66,FALSE)/HLOOKUP("Mins",A1:CV300,66,FALSE)* 90)</f>
      </c>
      <c r="AZ66" s="20334">
        <f>IF(HLOOKUP("Mins",A1:CV300,66,FALSE)=0,0,HLOOKUP("Base BPS",A1:CV300,66,FALSE)/HLOOKUP("Mins",A1:CV300,66,FALSE)* 90)</f>
      </c>
      <c r="BA66" s="20335">
        <f>IF(HLOOKUP("Mins",A1:CV300,66,FALSE)=0,0,HLOOKUP("PenTchs",A1:CV300,66,FALSE)/HLOOKUP("Mins",A1:CV300,66,FALSE)* 90)</f>
      </c>
      <c r="BB66" s="20336">
        <f>IF(HLOOKUP("Mins",A1:CV300,66,FALSE)=0,0,HLOOKUP("Shots",A1:CV300,66,FALSE)/HLOOKUP("Mins",A1:CV300,66,FALSE)* 90)</f>
      </c>
      <c r="BC66" s="20337">
        <f>IF(HLOOKUP("Mins",A1:CV300,66,FALSE)=0,0,HLOOKUP("SIB",A1:CV300,66,FALSE)/HLOOKUP("Mins",A1:CV300,66,FALSE)* 90)</f>
      </c>
      <c r="BD66" s="20338">
        <f>IF(HLOOKUP("Mins",A1:CV300,66,FALSE)=0,0,HLOOKUP("S6YD",A1:CV300,66,FALSE)/HLOOKUP("Mins",A1:CV300,66,FALSE)* 90)</f>
      </c>
      <c r="BE66" s="20339">
        <f>IF(HLOOKUP("Mins",A1:CV300,66,FALSE)=0,0,HLOOKUP("Headers",A1:CV300,66,FALSE)/HLOOKUP("Mins",A1:CV300,66,FALSE)* 90)</f>
      </c>
      <c r="BF66" s="20340">
        <f>IF(HLOOKUP("Mins",A1:CV300,66,FALSE)=0,0,HLOOKUP("SOT",A1:CV300,66,FALSE)/HLOOKUP("Mins",A1:CV300,66,FALSE)* 90)</f>
      </c>
      <c r="BG66" s="20341">
        <f>IF(HLOOKUP("Mins",A1:CV300,66,FALSE)=0,0,HLOOKUP("As",A1:CV300,66,FALSE)/HLOOKUP("Mins",A1:CV300,66,FALSE)* 90)</f>
      </c>
      <c r="BH66" s="20342">
        <f>IF(HLOOKUP("Mins",A1:CV300,66,FALSE)=0,0,HLOOKUP("FPL As",A1:CV300,66,FALSE)/HLOOKUP("Mins",A1:CV300,66,FALSE)* 90)</f>
      </c>
      <c r="BI66" s="20343">
        <f>IF(HLOOKUP("Mins",A1:CV300,66,FALSE)=0,0,HLOOKUP("BC Created",A1:CV300,66,FALSE)/HLOOKUP("Mins",A1:CV300,66,FALSE)* 90)</f>
      </c>
      <c r="BJ66" s="20344">
        <f>IF(HLOOKUP("Mins",A1:CV300,66,FALSE)=0,0,HLOOKUP("KP",A1:CV300,66,FALSE)/HLOOKUP("Mins",A1:CV300,66,FALSE)* 90)</f>
      </c>
      <c r="BK66" s="20345">
        <f>IF(HLOOKUP("Mins",A1:CV300,66,FALSE)=0,0,HLOOKUP("BC",A1:CV300,66,FALSE)/HLOOKUP("Mins",A1:CV300,66,FALSE)* 90)</f>
      </c>
      <c r="BL66" s="20346">
        <f>IF(HLOOKUP("Mins",A1:CV300,66,FALSE)=0,0,HLOOKUP("BC Miss",A1:CV300,66,FALSE)/HLOOKUP("Mins",A1:CV300,66,FALSE)* 90)</f>
      </c>
      <c r="BM66" s="20347">
        <f>IF(HLOOKUP("Mins",A1:CV300,66,FALSE)=0,0,HLOOKUP("Gs - BC",A1:CV300,66,FALSE)/HLOOKUP("Mins",A1:CV300,66,FALSE)* 90)</f>
      </c>
      <c r="BN66" s="20348">
        <f>IF(HLOOKUP("Mins",A1:CV300,66,FALSE)=0,0,HLOOKUP("GIB",A1:CV300,66,FALSE)/HLOOKUP("Mins",A1:CV300,66,FALSE)* 90)</f>
      </c>
      <c r="BO66" s="20349">
        <f>IF(HLOOKUP("Mins",A1:CV300,66,FALSE)=0,0,HLOOKUP("Gs - Open",A1:CV300,66,FALSE)/HLOOKUP("Mins",A1:CV300,66,FALSE)* 90)</f>
      </c>
      <c r="BP66" s="20350">
        <f>IF(HLOOKUP("Mins",A1:CV300,66,FALSE)=0,0,HLOOKUP("ICT Index",A1:CV300,66,FALSE)/HLOOKUP("Mins",A1:CV300,66,FALSE)* 90)</f>
      </c>
      <c r="BQ66" s="20351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20352">
        <f>0.0885*HLOOKUP("KP/90",A1:CV300,66,FALSE)</f>
      </c>
      <c r="BS66" s="20353">
        <f>5*HLOOKUP("xG/90",A1:CV300,66,FALSE)+3*HLOOKUP("xA/90",A1:CV300,66,FALSE)</f>
      </c>
      <c r="BT66" s="20354">
        <f>HLOOKUP("xPts/90",A1:CV300,66,FALSE)-(5*0.75*(HLOOKUP("PK Gs",A1:CV300,66,FALSE)+HLOOKUP("PK Miss",A1:CV300,66,FALSE))*90/HLOOKUP("Mins",A1:CV300,66,FALSE))</f>
      </c>
      <c r="BU66" s="20355">
        <f>IF(HLOOKUP("Mins",A1:CV300,66,FALSE)=0,0,HLOOKUP("fsXG",A1:CV300,66,FALSE)/HLOOKUP("Mins",A1:CV300,66,FALSE)* 90)</f>
      </c>
      <c r="BV66" s="20356">
        <f>IF(HLOOKUP("Mins",A1:CV300,66,FALSE)=0,0,HLOOKUP("fsXA",A1:CV300,66,FALSE)/HLOOKUP("Mins",A1:CV300,66,FALSE)* 90)</f>
      </c>
      <c r="BW66" s="20357">
        <f>5*HLOOKUP("fsXG/90",A1:CV300,66,FALSE)+3*HLOOKUP("fsXA/90",A1:CV300,66,FALSE)</f>
      </c>
      <c r="BX66" t="n" s="20358">
        <v>0.023195989429950714</v>
      </c>
      <c r="BY66" t="n" s="20359">
        <v>0.055995237082242966</v>
      </c>
      <c r="BZ66" s="20360">
        <f>5*HLOOKUP("uXG/90",A1:CV300,66,FALSE)+3*HLOOKUP("uXA/90",A1:CV300,66,FALSE)</f>
      </c>
    </row>
    <row r="67">
      <c r="A67" t="s" s="20361">
        <v>358</v>
      </c>
      <c r="B67" t="s" s="20362">
        <v>85</v>
      </c>
      <c r="C67" t="n" s="20363">
        <v>4.699999809265137</v>
      </c>
      <c r="D67" t="n" s="20364">
        <v>38.0</v>
      </c>
      <c r="E67" t="n" s="20365">
        <v>2.0</v>
      </c>
      <c r="F67" t="n" s="20366">
        <v>4.0</v>
      </c>
      <c r="G67" t="n" s="20367">
        <v>0.0</v>
      </c>
      <c r="H67" t="n" s="20368">
        <v>0.0</v>
      </c>
      <c r="I67" t="n" s="20369">
        <v>17.0</v>
      </c>
      <c r="J67" s="20370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20371">
        <v>0.0</v>
      </c>
      <c r="L67" t="n" s="20372">
        <v>0.0</v>
      </c>
      <c r="M67" t="n" s="20373">
        <v>1.0</v>
      </c>
      <c r="N67" t="n" s="20374">
        <v>0.0</v>
      </c>
      <c r="O67" t="n" s="20375">
        <v>0.0</v>
      </c>
      <c r="P67" s="20376">
        <f>IF(HLOOKUP("Shots",A1:CV300,67,FALSE)=0,0,HLOOKUP("SIB",A1:CV300,67,FALSE)/HLOOKUP("Shots",A1:CV300,67,FALSE))</f>
      </c>
      <c r="Q67" t="n" s="20377">
        <v>0.0</v>
      </c>
      <c r="R67" s="20378">
        <f>IF(HLOOKUP("Shots",A1:CV300,67,FALSE)=0,0,HLOOKUP("S6YD",A1:CV300,67,FALSE)/HLOOKUP("Shots",A1:CV300,67,FALSE))</f>
      </c>
      <c r="S67" t="n" s="20379">
        <v>0.0</v>
      </c>
      <c r="T67" s="20380">
        <f>IF(HLOOKUP("Shots",A1:CV300,67,FALSE)=0,0,HLOOKUP("Headers",A1:CV300,67,FALSE)/HLOOKUP("Shots",A1:CV300,67,FALSE))</f>
      </c>
      <c r="U67" t="n" s="20381">
        <v>0.0</v>
      </c>
      <c r="V67" s="20382">
        <f>IF(HLOOKUP("Shots",A1:CV300,67,FALSE)=0,0,HLOOKUP("SOT",A1:CV300,67,FALSE)/HLOOKUP("Shots",A1:CV300,67,FALSE))</f>
      </c>
      <c r="W67" s="20383">
        <f>IF(HLOOKUP("Shots",A1:CV300,67,FALSE)=0,0,HLOOKUP("Gs",A1:CV300,67,FALSE)/HLOOKUP("Shots",A1:CV300,67,FALSE))</f>
      </c>
      <c r="X67" t="n" s="20384">
        <v>0.0</v>
      </c>
      <c r="Y67" t="n" s="20385">
        <v>0.0</v>
      </c>
      <c r="Z67" t="n" s="20386">
        <v>1.0</v>
      </c>
      <c r="AA67" s="20387">
        <f>IF(HLOOKUP("KP",A1:CV300,67,FALSE)=0,0,HLOOKUP("As",A1:CV300,67,FALSE)/HLOOKUP("KP",A1:CV300,67,FALSE))</f>
      </c>
      <c r="AB67" s="20388"/>
      <c r="AC67" t="n" s="20389">
        <v>0.0</v>
      </c>
      <c r="AD67" t="n" s="20390">
        <v>1.0</v>
      </c>
      <c r="AE67" t="n" s="20391">
        <v>0.0</v>
      </c>
      <c r="AF67" t="n" s="20392">
        <v>0.0</v>
      </c>
      <c r="AG67" s="20393">
        <f>IF(HLOOKUP("BC",A1:CV300,67,FALSE)=0,0,HLOOKUP("Gs - BC",A1:CV300,67,FALSE)/HLOOKUP("BC",A1:CV300,67,FALSE))</f>
      </c>
      <c r="AH67" s="20394">
        <f>HLOOKUP("BC",A1:CV300,67,FALSE) - HLOOKUP("BC Miss",A1:CV300,67,FALSE)</f>
      </c>
      <c r="AI67" s="20395">
        <f>IF(HLOOKUP("Gs",A1:CV300,67,FALSE)=0,0,HLOOKUP("Gs - BC",A1:CV300,67,FALSE)/HLOOKUP("Gs",A1:CV300,67,FALSE))</f>
      </c>
      <c r="AJ67" t="n" s="20396">
        <v>0.0</v>
      </c>
      <c r="AK67" t="n" s="20397">
        <v>0.0</v>
      </c>
      <c r="AL67" s="20398">
        <f>HLOOKUP("BC",A1:CV300,67,FALSE) - (HLOOKUP("PK Gs",A1:CV300,67,FALSE) + HLOOKUP("PK Miss",A1:CV300,67,FALSE))</f>
      </c>
      <c r="AM67" s="20399">
        <f>HLOOKUP("BC Miss",A1:CV300,67,FALSE) - HLOOKUP("PK Miss",A1:CV300,67,FALSE)</f>
      </c>
      <c r="AN67" s="20400">
        <f>IF(HLOOKUP("BC - Open",A1:CV300,67,FALSE)=0,0,HLOOKUP("BC - Open Miss",A1:CV300,67,FALSE)/HLOOKUP("BC - Open",A1:CV300,67,FALSE))</f>
      </c>
      <c r="AO67" t="n" s="20401">
        <v>0.0</v>
      </c>
      <c r="AP67" s="20402">
        <f>IF(HLOOKUP("Gs",A1:CV300,67,FALSE)=0,0,HLOOKUP("GIB",A1:CV300,67,FALSE)/HLOOKUP("Gs",A1:CV300,67,FALSE))</f>
      </c>
      <c r="AQ67" t="n" s="20403">
        <v>0.0</v>
      </c>
      <c r="AR67" s="20404">
        <f>IF(HLOOKUP("Gs",A1:CV300,67,FALSE)=0,0,HLOOKUP("Gs - Open",A1:CV300,67,FALSE)/HLOOKUP("Gs",A1:CV300,67,FALSE))</f>
      </c>
      <c r="AS67" t="n" s="20405">
        <v>0.0</v>
      </c>
      <c r="AT67" t="n" s="20406">
        <v>0.06</v>
      </c>
      <c r="AU67" s="20407">
        <f>IF(HLOOKUP("Mins",A1:CV300,67,FALSE)=0,0,HLOOKUP("Pts",A1:CV300,67,FALSE)/HLOOKUP("Mins",A1:CV300,67,FALSE)* 90)</f>
      </c>
      <c r="AV67" s="20408">
        <f>IF(HLOOKUP("Apps",A1:CV300,67,FALSE)=0,0,HLOOKUP("Pts",A1:CV300,67,FALSE)/HLOOKUP("Apps",A1:CV300,67,FALSE)* 1)</f>
      </c>
      <c r="AW67" s="20409">
        <f>IF(HLOOKUP("Mins",A1:CV300,67,FALSE)=0,0,HLOOKUP("Gs",A1:CV300,67,FALSE)/HLOOKUP("Mins",A1:CV300,67,FALSE)* 90)</f>
      </c>
      <c r="AX67" s="20410">
        <f>IF(HLOOKUP("Mins",A1:CV300,67,FALSE)=0,0,HLOOKUP("Bonus",A1:CV300,67,FALSE)/HLOOKUP("Mins",A1:CV300,67,FALSE)* 90)</f>
      </c>
      <c r="AY67" s="20411">
        <f>IF(HLOOKUP("Mins",A1:CV300,67,FALSE)=0,0,HLOOKUP("BPS",A1:CV300,67,FALSE)/HLOOKUP("Mins",A1:CV300,67,FALSE)* 90)</f>
      </c>
      <c r="AZ67" s="20412">
        <f>IF(HLOOKUP("Mins",A1:CV300,67,FALSE)=0,0,HLOOKUP("Base BPS",A1:CV300,67,FALSE)/HLOOKUP("Mins",A1:CV300,67,FALSE)* 90)</f>
      </c>
      <c r="BA67" s="20413">
        <f>IF(HLOOKUP("Mins",A1:CV300,67,FALSE)=0,0,HLOOKUP("PenTchs",A1:CV300,67,FALSE)/HLOOKUP("Mins",A1:CV300,67,FALSE)* 90)</f>
      </c>
      <c r="BB67" s="20414">
        <f>IF(HLOOKUP("Mins",A1:CV300,67,FALSE)=0,0,HLOOKUP("Shots",A1:CV300,67,FALSE)/HLOOKUP("Mins",A1:CV300,67,FALSE)* 90)</f>
      </c>
      <c r="BC67" s="20415">
        <f>IF(HLOOKUP("Mins",A1:CV300,67,FALSE)=0,0,HLOOKUP("SIB",A1:CV300,67,FALSE)/HLOOKUP("Mins",A1:CV300,67,FALSE)* 90)</f>
      </c>
      <c r="BD67" s="20416">
        <f>IF(HLOOKUP("Mins",A1:CV300,67,FALSE)=0,0,HLOOKUP("S6YD",A1:CV300,67,FALSE)/HLOOKUP("Mins",A1:CV300,67,FALSE)* 90)</f>
      </c>
      <c r="BE67" s="20417">
        <f>IF(HLOOKUP("Mins",A1:CV300,67,FALSE)=0,0,HLOOKUP("Headers",A1:CV300,67,FALSE)/HLOOKUP("Mins",A1:CV300,67,FALSE)* 90)</f>
      </c>
      <c r="BF67" s="20418">
        <f>IF(HLOOKUP("Mins",A1:CV300,67,FALSE)=0,0,HLOOKUP("SOT",A1:CV300,67,FALSE)/HLOOKUP("Mins",A1:CV300,67,FALSE)* 90)</f>
      </c>
      <c r="BG67" s="20419">
        <f>IF(HLOOKUP("Mins",A1:CV300,67,FALSE)=0,0,HLOOKUP("As",A1:CV300,67,FALSE)/HLOOKUP("Mins",A1:CV300,67,FALSE)* 90)</f>
      </c>
      <c r="BH67" s="20420">
        <f>IF(HLOOKUP("Mins",A1:CV300,67,FALSE)=0,0,HLOOKUP("FPL As",A1:CV300,67,FALSE)/HLOOKUP("Mins",A1:CV300,67,FALSE)* 90)</f>
      </c>
      <c r="BI67" s="20421">
        <f>IF(HLOOKUP("Mins",A1:CV300,67,FALSE)=0,0,HLOOKUP("BC Created",A1:CV300,67,FALSE)/HLOOKUP("Mins",A1:CV300,67,FALSE)* 90)</f>
      </c>
      <c r="BJ67" s="20422">
        <f>IF(HLOOKUP("Mins",A1:CV300,67,FALSE)=0,0,HLOOKUP("KP",A1:CV300,67,FALSE)/HLOOKUP("Mins",A1:CV300,67,FALSE)* 90)</f>
      </c>
      <c r="BK67" s="20423">
        <f>IF(HLOOKUP("Mins",A1:CV300,67,FALSE)=0,0,HLOOKUP("BC",A1:CV300,67,FALSE)/HLOOKUP("Mins",A1:CV300,67,FALSE)* 90)</f>
      </c>
      <c r="BL67" s="20424">
        <f>IF(HLOOKUP("Mins",A1:CV300,67,FALSE)=0,0,HLOOKUP("BC Miss",A1:CV300,67,FALSE)/HLOOKUP("Mins",A1:CV300,67,FALSE)* 90)</f>
      </c>
      <c r="BM67" s="20425">
        <f>IF(HLOOKUP("Mins",A1:CV300,67,FALSE)=0,0,HLOOKUP("Gs - BC",A1:CV300,67,FALSE)/HLOOKUP("Mins",A1:CV300,67,FALSE)* 90)</f>
      </c>
      <c r="BN67" s="20426">
        <f>IF(HLOOKUP("Mins",A1:CV300,67,FALSE)=0,0,HLOOKUP("GIB",A1:CV300,67,FALSE)/HLOOKUP("Mins",A1:CV300,67,FALSE)* 90)</f>
      </c>
      <c r="BO67" s="20427">
        <f>IF(HLOOKUP("Mins",A1:CV300,67,FALSE)=0,0,HLOOKUP("Gs - Open",A1:CV300,67,FALSE)/HLOOKUP("Mins",A1:CV300,67,FALSE)* 90)</f>
      </c>
      <c r="BP67" s="20428">
        <f>IF(HLOOKUP("Mins",A1:CV300,67,FALSE)=0,0,HLOOKUP("ICT Index",A1:CV300,67,FALSE)/HLOOKUP("Mins",A1:CV300,67,FALSE)* 90)</f>
      </c>
      <c r="BQ67" s="20429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20430">
        <f>0.0885*HLOOKUP("KP/90",A1:CV300,67,FALSE)</f>
      </c>
      <c r="BS67" s="20431">
        <f>5*HLOOKUP("xG/90",A1:CV300,67,FALSE)+3*HLOOKUP("xA/90",A1:CV300,67,FALSE)</f>
      </c>
      <c r="BT67" s="20432">
        <f>HLOOKUP("xPts/90",A1:CV300,67,FALSE)-(5*0.75*(HLOOKUP("PK Gs",A1:CV300,67,FALSE)+HLOOKUP("PK Miss",A1:CV300,67,FALSE))*90/HLOOKUP("Mins",A1:CV300,67,FALSE))</f>
      </c>
      <c r="BU67" s="20433">
        <f>IF(HLOOKUP("Mins",A1:CV300,67,FALSE)=0,0,HLOOKUP("fsXG",A1:CV300,67,FALSE)/HLOOKUP("Mins",A1:CV300,67,FALSE)* 90)</f>
      </c>
      <c r="BV67" s="20434">
        <f>IF(HLOOKUP("Mins",A1:CV300,67,FALSE)=0,0,HLOOKUP("fsXA",A1:CV300,67,FALSE)/HLOOKUP("Mins",A1:CV300,67,FALSE)* 90)</f>
      </c>
      <c r="BW67" s="20435">
        <f>5*HLOOKUP("fsXG/90",A1:CV300,67,FALSE)+3*HLOOKUP("fsXA/90",A1:CV300,67,FALSE)</f>
      </c>
      <c r="BX67" t="n" s="20436">
        <v>0.0</v>
      </c>
      <c r="BY67" t="n" s="20437">
        <v>0.9685931205749512</v>
      </c>
      <c r="BZ67" s="20438">
        <f>5*HLOOKUP("uXG/90",A1:CV300,67,FALSE)+3*HLOOKUP("uXA/90",A1:CV300,67,FALSE)</f>
      </c>
    </row>
    <row r="68">
      <c r="A68" t="s" s="20439">
        <v>359</v>
      </c>
      <c r="B68" t="s" s="20440">
        <v>96</v>
      </c>
      <c r="C68" t="n" s="20441">
        <v>5.400000095367432</v>
      </c>
      <c r="D68" t="n" s="20442">
        <v>287.0</v>
      </c>
      <c r="E68" t="n" s="20443">
        <v>4.0</v>
      </c>
      <c r="F68" t="n" s="20444">
        <v>49.0</v>
      </c>
      <c r="G68" t="n" s="20445">
        <v>0.0</v>
      </c>
      <c r="H68" t="n" s="20446">
        <v>4.0</v>
      </c>
      <c r="I68" t="n" s="20447">
        <v>150.0</v>
      </c>
      <c r="J68" s="20448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20449">
        <v>0.0</v>
      </c>
      <c r="L68" t="n" s="20450">
        <v>6.0</v>
      </c>
      <c r="M68" t="n" s="20451">
        <v>2.0</v>
      </c>
      <c r="N68" t="n" s="20452">
        <v>3.0</v>
      </c>
      <c r="O68" t="n" s="20453">
        <v>0.0</v>
      </c>
      <c r="P68" s="20454">
        <f>IF(HLOOKUP("Shots",A1:CV300,68,FALSE)=0,0,HLOOKUP("SIB",A1:CV300,68,FALSE)/HLOOKUP("Shots",A1:CV300,68,FALSE))</f>
      </c>
      <c r="Q68" t="n" s="20455">
        <v>0.0</v>
      </c>
      <c r="R68" s="20456">
        <f>IF(HLOOKUP("Shots",A1:CV300,68,FALSE)=0,0,HLOOKUP("S6YD",A1:CV300,68,FALSE)/HLOOKUP("Shots",A1:CV300,68,FALSE))</f>
      </c>
      <c r="S68" t="n" s="20457">
        <v>0.0</v>
      </c>
      <c r="T68" s="20458">
        <f>IF(HLOOKUP("Shots",A1:CV300,68,FALSE)=0,0,HLOOKUP("Headers",A1:CV300,68,FALSE)/HLOOKUP("Shots",A1:CV300,68,FALSE))</f>
      </c>
      <c r="U68" t="n" s="20459">
        <v>0.0</v>
      </c>
      <c r="V68" s="20460">
        <f>IF(HLOOKUP("Shots",A1:CV300,68,FALSE)=0,0,HLOOKUP("SOT",A1:CV300,68,FALSE)/HLOOKUP("Shots",A1:CV300,68,FALSE))</f>
      </c>
      <c r="W68" s="20461">
        <f>IF(HLOOKUP("Shots",A1:CV300,68,FALSE)=0,0,HLOOKUP("Gs",A1:CV300,68,FALSE)/HLOOKUP("Shots",A1:CV300,68,FALSE))</f>
      </c>
      <c r="X68" t="n" s="20462">
        <v>0.0</v>
      </c>
      <c r="Y68" t="n" s="20463">
        <v>1.0</v>
      </c>
      <c r="Z68" t="n" s="20464">
        <v>0.0</v>
      </c>
      <c r="AA68" s="20465">
        <f>IF(HLOOKUP("KP",A1:CV300,68,FALSE)=0,0,HLOOKUP("As",A1:CV300,68,FALSE)/HLOOKUP("KP",A1:CV300,68,FALSE))</f>
      </c>
      <c r="AB68" s="20466"/>
      <c r="AC68" t="n" s="20467">
        <v>0.0</v>
      </c>
      <c r="AD68" t="n" s="20468">
        <v>0.0</v>
      </c>
      <c r="AE68" t="n" s="20469">
        <v>0.0</v>
      </c>
      <c r="AF68" t="n" s="20470">
        <v>0.0</v>
      </c>
      <c r="AG68" s="20471">
        <f>IF(HLOOKUP("BC",A1:CV300,68,FALSE)=0,0,HLOOKUP("Gs - BC",A1:CV300,68,FALSE)/HLOOKUP("BC",A1:CV300,68,FALSE))</f>
      </c>
      <c r="AH68" s="20472">
        <f>HLOOKUP("BC",A1:CV300,68,FALSE) - HLOOKUP("BC Miss",A1:CV300,68,FALSE)</f>
      </c>
      <c r="AI68" s="20473">
        <f>IF(HLOOKUP("Gs",A1:CV300,68,FALSE)=0,0,HLOOKUP("Gs - BC",A1:CV300,68,FALSE)/HLOOKUP("Gs",A1:CV300,68,FALSE))</f>
      </c>
      <c r="AJ68" t="n" s="20474">
        <v>0.0</v>
      </c>
      <c r="AK68" t="n" s="20475">
        <v>0.0</v>
      </c>
      <c r="AL68" s="20476">
        <f>HLOOKUP("BC",A1:CV300,68,FALSE) - (HLOOKUP("PK Gs",A1:CV300,68,FALSE) + HLOOKUP("PK Miss",A1:CV300,68,FALSE))</f>
      </c>
      <c r="AM68" s="20477">
        <f>HLOOKUP("BC Miss",A1:CV300,68,FALSE) - HLOOKUP("PK Miss",A1:CV300,68,FALSE)</f>
      </c>
      <c r="AN68" s="20478">
        <f>IF(HLOOKUP("BC - Open",A1:CV300,68,FALSE)=0,0,HLOOKUP("BC - Open Miss",A1:CV300,68,FALSE)/HLOOKUP("BC - Open",A1:CV300,68,FALSE))</f>
      </c>
      <c r="AO68" t="n" s="20479">
        <v>0.0</v>
      </c>
      <c r="AP68" s="20480">
        <f>IF(HLOOKUP("Gs",A1:CV300,68,FALSE)=0,0,HLOOKUP("GIB",A1:CV300,68,FALSE)/HLOOKUP("Gs",A1:CV300,68,FALSE))</f>
      </c>
      <c r="AQ68" t="n" s="20481">
        <v>0.0</v>
      </c>
      <c r="AR68" s="20482">
        <f>IF(HLOOKUP("Gs",A1:CV300,68,FALSE)=0,0,HLOOKUP("Gs - Open",A1:CV300,68,FALSE)/HLOOKUP("Gs",A1:CV300,68,FALSE))</f>
      </c>
      <c r="AS68" t="n" s="20483">
        <v>0.12</v>
      </c>
      <c r="AT68" t="n" s="20484">
        <v>0.06</v>
      </c>
      <c r="AU68" s="20485">
        <f>IF(HLOOKUP("Mins",A1:CV300,68,FALSE)=0,0,HLOOKUP("Pts",A1:CV300,68,FALSE)/HLOOKUP("Mins",A1:CV300,68,FALSE)* 90)</f>
      </c>
      <c r="AV68" s="20486">
        <f>IF(HLOOKUP("Apps",A1:CV300,68,FALSE)=0,0,HLOOKUP("Pts",A1:CV300,68,FALSE)/HLOOKUP("Apps",A1:CV300,68,FALSE)* 1)</f>
      </c>
      <c r="AW68" s="20487">
        <f>IF(HLOOKUP("Mins",A1:CV300,68,FALSE)=0,0,HLOOKUP("Gs",A1:CV300,68,FALSE)/HLOOKUP("Mins",A1:CV300,68,FALSE)* 90)</f>
      </c>
      <c r="AX68" s="20488">
        <f>IF(HLOOKUP("Mins",A1:CV300,68,FALSE)=0,0,HLOOKUP("Bonus",A1:CV300,68,FALSE)/HLOOKUP("Mins",A1:CV300,68,FALSE)* 90)</f>
      </c>
      <c r="AY68" s="20489">
        <f>IF(HLOOKUP("Mins",A1:CV300,68,FALSE)=0,0,HLOOKUP("BPS",A1:CV300,68,FALSE)/HLOOKUP("Mins",A1:CV300,68,FALSE)* 90)</f>
      </c>
      <c r="AZ68" s="20490">
        <f>IF(HLOOKUP("Mins",A1:CV300,68,FALSE)=0,0,HLOOKUP("Base BPS",A1:CV300,68,FALSE)/HLOOKUP("Mins",A1:CV300,68,FALSE)* 90)</f>
      </c>
      <c r="BA68" s="20491">
        <f>IF(HLOOKUP("Mins",A1:CV300,68,FALSE)=0,0,HLOOKUP("PenTchs",A1:CV300,68,FALSE)/HLOOKUP("Mins",A1:CV300,68,FALSE)* 90)</f>
      </c>
      <c r="BB68" s="20492">
        <f>IF(HLOOKUP("Mins",A1:CV300,68,FALSE)=0,0,HLOOKUP("Shots",A1:CV300,68,FALSE)/HLOOKUP("Mins",A1:CV300,68,FALSE)* 90)</f>
      </c>
      <c r="BC68" s="20493">
        <f>IF(HLOOKUP("Mins",A1:CV300,68,FALSE)=0,0,HLOOKUP("SIB",A1:CV300,68,FALSE)/HLOOKUP("Mins",A1:CV300,68,FALSE)* 90)</f>
      </c>
      <c r="BD68" s="20494">
        <f>IF(HLOOKUP("Mins",A1:CV300,68,FALSE)=0,0,HLOOKUP("S6YD",A1:CV300,68,FALSE)/HLOOKUP("Mins",A1:CV300,68,FALSE)* 90)</f>
      </c>
      <c r="BE68" s="20495">
        <f>IF(HLOOKUP("Mins",A1:CV300,68,FALSE)=0,0,HLOOKUP("Headers",A1:CV300,68,FALSE)/HLOOKUP("Mins",A1:CV300,68,FALSE)* 90)</f>
      </c>
      <c r="BF68" s="20496">
        <f>IF(HLOOKUP("Mins",A1:CV300,68,FALSE)=0,0,HLOOKUP("SOT",A1:CV300,68,FALSE)/HLOOKUP("Mins",A1:CV300,68,FALSE)* 90)</f>
      </c>
      <c r="BG68" s="20497">
        <f>IF(HLOOKUP("Mins",A1:CV300,68,FALSE)=0,0,HLOOKUP("As",A1:CV300,68,FALSE)/HLOOKUP("Mins",A1:CV300,68,FALSE)* 90)</f>
      </c>
      <c r="BH68" s="20498">
        <f>IF(HLOOKUP("Mins",A1:CV300,68,FALSE)=0,0,HLOOKUP("FPL As",A1:CV300,68,FALSE)/HLOOKUP("Mins",A1:CV300,68,FALSE)* 90)</f>
      </c>
      <c r="BI68" s="20499">
        <f>IF(HLOOKUP("Mins",A1:CV300,68,FALSE)=0,0,HLOOKUP("BC Created",A1:CV300,68,FALSE)/HLOOKUP("Mins",A1:CV300,68,FALSE)* 90)</f>
      </c>
      <c r="BJ68" s="20500">
        <f>IF(HLOOKUP("Mins",A1:CV300,68,FALSE)=0,0,HLOOKUP("KP",A1:CV300,68,FALSE)/HLOOKUP("Mins",A1:CV300,68,FALSE)* 90)</f>
      </c>
      <c r="BK68" s="20501">
        <f>IF(HLOOKUP("Mins",A1:CV300,68,FALSE)=0,0,HLOOKUP("BC",A1:CV300,68,FALSE)/HLOOKUP("Mins",A1:CV300,68,FALSE)* 90)</f>
      </c>
      <c r="BL68" s="20502">
        <f>IF(HLOOKUP("Mins",A1:CV300,68,FALSE)=0,0,HLOOKUP("BC Miss",A1:CV300,68,FALSE)/HLOOKUP("Mins",A1:CV300,68,FALSE)* 90)</f>
      </c>
      <c r="BM68" s="20503">
        <f>IF(HLOOKUP("Mins",A1:CV300,68,FALSE)=0,0,HLOOKUP("Gs - BC",A1:CV300,68,FALSE)/HLOOKUP("Mins",A1:CV300,68,FALSE)* 90)</f>
      </c>
      <c r="BN68" s="20504">
        <f>IF(HLOOKUP("Mins",A1:CV300,68,FALSE)=0,0,HLOOKUP("GIB",A1:CV300,68,FALSE)/HLOOKUP("Mins",A1:CV300,68,FALSE)* 90)</f>
      </c>
      <c r="BO68" s="20505">
        <f>IF(HLOOKUP("Mins",A1:CV300,68,FALSE)=0,0,HLOOKUP("Gs - Open",A1:CV300,68,FALSE)/HLOOKUP("Mins",A1:CV300,68,FALSE)* 90)</f>
      </c>
      <c r="BP68" s="20506">
        <f>IF(HLOOKUP("Mins",A1:CV300,68,FALSE)=0,0,HLOOKUP("ICT Index",A1:CV300,68,FALSE)/HLOOKUP("Mins",A1:CV300,68,FALSE)* 90)</f>
      </c>
      <c r="BQ68" s="20507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20508">
        <f>0.0885*HLOOKUP("KP/90",A1:CV300,68,FALSE)</f>
      </c>
      <c r="BS68" s="20509">
        <f>5*HLOOKUP("xG/90",A1:CV300,68,FALSE)+3*HLOOKUP("xA/90",A1:CV300,68,FALSE)</f>
      </c>
      <c r="BT68" s="20510">
        <f>HLOOKUP("xPts/90",A1:CV300,68,FALSE)-(5*0.75*(HLOOKUP("PK Gs",A1:CV300,68,FALSE)+HLOOKUP("PK Miss",A1:CV300,68,FALSE))*90/HLOOKUP("Mins",A1:CV300,68,FALSE))</f>
      </c>
      <c r="BU68" s="20511">
        <f>IF(HLOOKUP("Mins",A1:CV300,68,FALSE)=0,0,HLOOKUP("fsXG",A1:CV300,68,FALSE)/HLOOKUP("Mins",A1:CV300,68,FALSE)* 90)</f>
      </c>
      <c r="BV68" s="20512">
        <f>IF(HLOOKUP("Mins",A1:CV300,68,FALSE)=0,0,HLOOKUP("fsXA",A1:CV300,68,FALSE)/HLOOKUP("Mins",A1:CV300,68,FALSE)* 90)</f>
      </c>
      <c r="BW68" s="20513">
        <f>5*HLOOKUP("fsXG/90",A1:CV300,68,FALSE)+3*HLOOKUP("fsXA/90",A1:CV300,68,FALSE)</f>
      </c>
      <c r="BX68" t="n" s="20514">
        <v>0.02826218493282795</v>
      </c>
      <c r="BY68" t="n" s="20515">
        <v>0.0</v>
      </c>
      <c r="BZ68" s="20516">
        <f>5*HLOOKUP("uXG/90",A1:CV300,68,FALSE)+3*HLOOKUP("uXA/90",A1:CV300,68,FALSE)</f>
      </c>
    </row>
    <row r="69">
      <c r="A69" t="s" s="20517">
        <v>360</v>
      </c>
      <c r="B69" t="s" s="20518">
        <v>144</v>
      </c>
      <c r="C69" t="n" s="20519">
        <v>4.900000095367432</v>
      </c>
      <c r="D69" t="n" s="20520">
        <v>207.0</v>
      </c>
      <c r="E69" t="n" s="20521">
        <v>3.0</v>
      </c>
      <c r="F69" t="n" s="20522">
        <v>55.0</v>
      </c>
      <c r="G69" t="n" s="20523">
        <v>0.0</v>
      </c>
      <c r="H69" t="n" s="20524">
        <v>6.0</v>
      </c>
      <c r="I69" t="n" s="20525">
        <v>237.0</v>
      </c>
      <c r="J69" s="20526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20527">
        <v>0.0</v>
      </c>
      <c r="L69" t="n" s="20528">
        <v>2.0</v>
      </c>
      <c r="M69" t="n" s="20529">
        <v>3.0</v>
      </c>
      <c r="N69" t="n" s="20530">
        <v>7.0</v>
      </c>
      <c r="O69" t="n" s="20531">
        <v>1.0</v>
      </c>
      <c r="P69" s="20532">
        <f>IF(HLOOKUP("Shots",A1:CV300,69,FALSE)=0,0,HLOOKUP("SIB",A1:CV300,69,FALSE)/HLOOKUP("Shots",A1:CV300,69,FALSE))</f>
      </c>
      <c r="Q69" t="n" s="20533">
        <v>0.0</v>
      </c>
      <c r="R69" s="20534">
        <f>IF(HLOOKUP("Shots",A1:CV300,69,FALSE)=0,0,HLOOKUP("S6YD",A1:CV300,69,FALSE)/HLOOKUP("Shots",A1:CV300,69,FALSE))</f>
      </c>
      <c r="S69" t="n" s="20535">
        <v>1.0</v>
      </c>
      <c r="T69" s="20536">
        <f>IF(HLOOKUP("Shots",A1:CV300,69,FALSE)=0,0,HLOOKUP("Headers",A1:CV300,69,FALSE)/HLOOKUP("Shots",A1:CV300,69,FALSE))</f>
      </c>
      <c r="U69" t="n" s="20537">
        <v>2.0</v>
      </c>
      <c r="V69" s="20538">
        <f>IF(HLOOKUP("Shots",A1:CV300,69,FALSE)=0,0,HLOOKUP("SOT",A1:CV300,69,FALSE)/HLOOKUP("Shots",A1:CV300,69,FALSE))</f>
      </c>
      <c r="W69" s="20539">
        <f>IF(HLOOKUP("Shots",A1:CV300,69,FALSE)=0,0,HLOOKUP("Gs",A1:CV300,69,FALSE)/HLOOKUP("Shots",A1:CV300,69,FALSE))</f>
      </c>
      <c r="X69" t="n" s="20540">
        <v>0.0</v>
      </c>
      <c r="Y69" t="n" s="20541">
        <v>2.0</v>
      </c>
      <c r="Z69" t="n" s="20542">
        <v>6.0</v>
      </c>
      <c r="AA69" s="20543">
        <f>IF(HLOOKUP("KP",A1:CV300,69,FALSE)=0,0,HLOOKUP("As",A1:CV300,69,FALSE)/HLOOKUP("KP",A1:CV300,69,FALSE))</f>
      </c>
      <c r="AB69" s="20544"/>
      <c r="AC69" t="n" s="20545">
        <v>0.0</v>
      </c>
      <c r="AD69" t="n" s="20546">
        <v>0.0</v>
      </c>
      <c r="AE69" t="n" s="20547">
        <v>0.0</v>
      </c>
      <c r="AF69" t="n" s="20548">
        <v>0.0</v>
      </c>
      <c r="AG69" s="20549">
        <f>IF(HLOOKUP("BC",A1:CV300,69,FALSE)=0,0,HLOOKUP("Gs - BC",A1:CV300,69,FALSE)/HLOOKUP("BC",A1:CV300,69,FALSE))</f>
      </c>
      <c r="AH69" s="20550">
        <f>HLOOKUP("BC",A1:CV300,69,FALSE) - HLOOKUP("BC Miss",A1:CV300,69,FALSE)</f>
      </c>
      <c r="AI69" s="20551">
        <f>IF(HLOOKUP("Gs",A1:CV300,69,FALSE)=0,0,HLOOKUP("Gs - BC",A1:CV300,69,FALSE)/HLOOKUP("Gs",A1:CV300,69,FALSE))</f>
      </c>
      <c r="AJ69" t="n" s="20552">
        <v>0.0</v>
      </c>
      <c r="AK69" t="n" s="20553">
        <v>0.0</v>
      </c>
      <c r="AL69" s="20554">
        <f>HLOOKUP("BC",A1:CV300,69,FALSE) - (HLOOKUP("PK Gs",A1:CV300,69,FALSE) + HLOOKUP("PK Miss",A1:CV300,69,FALSE))</f>
      </c>
      <c r="AM69" s="20555">
        <f>HLOOKUP("BC Miss",A1:CV300,69,FALSE) - HLOOKUP("PK Miss",A1:CV300,69,FALSE)</f>
      </c>
      <c r="AN69" s="20556">
        <f>IF(HLOOKUP("BC - Open",A1:CV300,69,FALSE)=0,0,HLOOKUP("BC - Open Miss",A1:CV300,69,FALSE)/HLOOKUP("BC - Open",A1:CV300,69,FALSE))</f>
      </c>
      <c r="AO69" t="n" s="20557">
        <v>0.0</v>
      </c>
      <c r="AP69" s="20558">
        <f>IF(HLOOKUP("Gs",A1:CV300,69,FALSE)=0,0,HLOOKUP("GIB",A1:CV300,69,FALSE)/HLOOKUP("Gs",A1:CV300,69,FALSE))</f>
      </c>
      <c r="AQ69" t="n" s="20559">
        <v>0.0</v>
      </c>
      <c r="AR69" s="20560">
        <f>IF(HLOOKUP("Gs",A1:CV300,69,FALSE)=0,0,HLOOKUP("Gs - Open",A1:CV300,69,FALSE)/HLOOKUP("Gs",A1:CV300,69,FALSE))</f>
      </c>
      <c r="AS69" t="n" s="20561">
        <v>0.27</v>
      </c>
      <c r="AT69" t="n" s="20562">
        <v>0.23</v>
      </c>
      <c r="AU69" s="20563">
        <f>IF(HLOOKUP("Mins",A1:CV300,69,FALSE)=0,0,HLOOKUP("Pts",A1:CV300,69,FALSE)/HLOOKUP("Mins",A1:CV300,69,FALSE)* 90)</f>
      </c>
      <c r="AV69" s="20564">
        <f>IF(HLOOKUP("Apps",A1:CV300,69,FALSE)=0,0,HLOOKUP("Pts",A1:CV300,69,FALSE)/HLOOKUP("Apps",A1:CV300,69,FALSE)* 1)</f>
      </c>
      <c r="AW69" s="20565">
        <f>IF(HLOOKUP("Mins",A1:CV300,69,FALSE)=0,0,HLOOKUP("Gs",A1:CV300,69,FALSE)/HLOOKUP("Mins",A1:CV300,69,FALSE)* 90)</f>
      </c>
      <c r="AX69" s="20566">
        <f>IF(HLOOKUP("Mins",A1:CV300,69,FALSE)=0,0,HLOOKUP("Bonus",A1:CV300,69,FALSE)/HLOOKUP("Mins",A1:CV300,69,FALSE)* 90)</f>
      </c>
      <c r="AY69" s="20567">
        <f>IF(HLOOKUP("Mins",A1:CV300,69,FALSE)=0,0,HLOOKUP("BPS",A1:CV300,69,FALSE)/HLOOKUP("Mins",A1:CV300,69,FALSE)* 90)</f>
      </c>
      <c r="AZ69" s="20568">
        <f>IF(HLOOKUP("Mins",A1:CV300,69,FALSE)=0,0,HLOOKUP("Base BPS",A1:CV300,69,FALSE)/HLOOKUP("Mins",A1:CV300,69,FALSE)* 90)</f>
      </c>
      <c r="BA69" s="20569">
        <f>IF(HLOOKUP("Mins",A1:CV300,69,FALSE)=0,0,HLOOKUP("PenTchs",A1:CV300,69,FALSE)/HLOOKUP("Mins",A1:CV300,69,FALSE)* 90)</f>
      </c>
      <c r="BB69" s="20570">
        <f>IF(HLOOKUP("Mins",A1:CV300,69,FALSE)=0,0,HLOOKUP("Shots",A1:CV300,69,FALSE)/HLOOKUP("Mins",A1:CV300,69,FALSE)* 90)</f>
      </c>
      <c r="BC69" s="20571">
        <f>IF(HLOOKUP("Mins",A1:CV300,69,FALSE)=0,0,HLOOKUP("SIB",A1:CV300,69,FALSE)/HLOOKUP("Mins",A1:CV300,69,FALSE)* 90)</f>
      </c>
      <c r="BD69" s="20572">
        <f>IF(HLOOKUP("Mins",A1:CV300,69,FALSE)=0,0,HLOOKUP("S6YD",A1:CV300,69,FALSE)/HLOOKUP("Mins",A1:CV300,69,FALSE)* 90)</f>
      </c>
      <c r="BE69" s="20573">
        <f>IF(HLOOKUP("Mins",A1:CV300,69,FALSE)=0,0,HLOOKUP("Headers",A1:CV300,69,FALSE)/HLOOKUP("Mins",A1:CV300,69,FALSE)* 90)</f>
      </c>
      <c r="BF69" s="20574">
        <f>IF(HLOOKUP("Mins",A1:CV300,69,FALSE)=0,0,HLOOKUP("SOT",A1:CV300,69,FALSE)/HLOOKUP("Mins",A1:CV300,69,FALSE)* 90)</f>
      </c>
      <c r="BG69" s="20575">
        <f>IF(HLOOKUP("Mins",A1:CV300,69,FALSE)=0,0,HLOOKUP("As",A1:CV300,69,FALSE)/HLOOKUP("Mins",A1:CV300,69,FALSE)* 90)</f>
      </c>
      <c r="BH69" s="20576">
        <f>IF(HLOOKUP("Mins",A1:CV300,69,FALSE)=0,0,HLOOKUP("FPL As",A1:CV300,69,FALSE)/HLOOKUP("Mins",A1:CV300,69,FALSE)* 90)</f>
      </c>
      <c r="BI69" s="20577">
        <f>IF(HLOOKUP("Mins",A1:CV300,69,FALSE)=0,0,HLOOKUP("BC Created",A1:CV300,69,FALSE)/HLOOKUP("Mins",A1:CV300,69,FALSE)* 90)</f>
      </c>
      <c r="BJ69" s="20578">
        <f>IF(HLOOKUP("Mins",A1:CV300,69,FALSE)=0,0,HLOOKUP("KP",A1:CV300,69,FALSE)/HLOOKUP("Mins",A1:CV300,69,FALSE)* 90)</f>
      </c>
      <c r="BK69" s="20579">
        <f>IF(HLOOKUP("Mins",A1:CV300,69,FALSE)=0,0,HLOOKUP("BC",A1:CV300,69,FALSE)/HLOOKUP("Mins",A1:CV300,69,FALSE)* 90)</f>
      </c>
      <c r="BL69" s="20580">
        <f>IF(HLOOKUP("Mins",A1:CV300,69,FALSE)=0,0,HLOOKUP("BC Miss",A1:CV300,69,FALSE)/HLOOKUP("Mins",A1:CV300,69,FALSE)* 90)</f>
      </c>
      <c r="BM69" s="20581">
        <f>IF(HLOOKUP("Mins",A1:CV300,69,FALSE)=0,0,HLOOKUP("Gs - BC",A1:CV300,69,FALSE)/HLOOKUP("Mins",A1:CV300,69,FALSE)* 90)</f>
      </c>
      <c r="BN69" s="20582">
        <f>IF(HLOOKUP("Mins",A1:CV300,69,FALSE)=0,0,HLOOKUP("GIB",A1:CV300,69,FALSE)/HLOOKUP("Mins",A1:CV300,69,FALSE)* 90)</f>
      </c>
      <c r="BO69" s="20583">
        <f>IF(HLOOKUP("Mins",A1:CV300,69,FALSE)=0,0,HLOOKUP("Gs - Open",A1:CV300,69,FALSE)/HLOOKUP("Mins",A1:CV300,69,FALSE)* 90)</f>
      </c>
      <c r="BP69" s="20584">
        <f>IF(HLOOKUP("Mins",A1:CV300,69,FALSE)=0,0,HLOOKUP("ICT Index",A1:CV300,69,FALSE)/HLOOKUP("Mins",A1:CV300,69,FALSE)* 90)</f>
      </c>
      <c r="BQ69" s="20585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20586">
        <f>0.0885*HLOOKUP("KP/90",A1:CV300,69,FALSE)</f>
      </c>
      <c r="BS69" s="20587">
        <f>5*HLOOKUP("xG/90",A1:CV300,69,FALSE)+3*HLOOKUP("xA/90",A1:CV300,69,FALSE)</f>
      </c>
      <c r="BT69" s="20588">
        <f>HLOOKUP("xPts/90",A1:CV300,69,FALSE)-(5*0.75*(HLOOKUP("PK Gs",A1:CV300,69,FALSE)+HLOOKUP("PK Miss",A1:CV300,69,FALSE))*90/HLOOKUP("Mins",A1:CV300,69,FALSE))</f>
      </c>
      <c r="BU69" s="20589">
        <f>IF(HLOOKUP("Mins",A1:CV300,69,FALSE)=0,0,HLOOKUP("fsXG",A1:CV300,69,FALSE)/HLOOKUP("Mins",A1:CV300,69,FALSE)* 90)</f>
      </c>
      <c r="BV69" s="20590">
        <f>IF(HLOOKUP("Mins",A1:CV300,69,FALSE)=0,0,HLOOKUP("fsXA",A1:CV300,69,FALSE)/HLOOKUP("Mins",A1:CV300,69,FALSE)* 90)</f>
      </c>
      <c r="BW69" s="20591">
        <f>5*HLOOKUP("fsXG/90",A1:CV300,69,FALSE)+3*HLOOKUP("fsXA/90",A1:CV300,69,FALSE)</f>
      </c>
      <c r="BX69" t="n" s="20592">
        <v>0.08189670741558075</v>
      </c>
      <c r="BY69" t="n" s="20593">
        <v>0.11406815052032471</v>
      </c>
      <c r="BZ69" s="20594">
        <f>5*HLOOKUP("uXG/90",A1:CV300,69,FALSE)+3*HLOOKUP("uXA/90",A1:CV300,69,FALSE)</f>
      </c>
    </row>
    <row r="70">
      <c r="A70" t="s" s="20595">
        <v>361</v>
      </c>
      <c r="B70" t="s" s="20596">
        <v>96</v>
      </c>
      <c r="C70" t="n" s="20597">
        <v>5.5</v>
      </c>
      <c r="D70" t="n" s="20598">
        <v>125.0</v>
      </c>
      <c r="E70" t="n" s="20599">
        <v>4.0</v>
      </c>
      <c r="F70" t="n" s="20600">
        <v>28.0</v>
      </c>
      <c r="G70" t="n" s="20601">
        <v>0.0</v>
      </c>
      <c r="H70" t="n" s="20602">
        <v>0.0</v>
      </c>
      <c r="I70" t="n" s="20603">
        <v>99.0</v>
      </c>
      <c r="J70" s="20604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20605">
        <v>0.0</v>
      </c>
      <c r="L70" t="n" s="20606">
        <v>1.0</v>
      </c>
      <c r="M70" t="n" s="20607">
        <v>3.0</v>
      </c>
      <c r="N70" t="n" s="20608">
        <v>3.0</v>
      </c>
      <c r="O70" t="n" s="20609">
        <v>2.0</v>
      </c>
      <c r="P70" s="20610">
        <f>IF(HLOOKUP("Shots",A1:CV300,70,FALSE)=0,0,HLOOKUP("SIB",A1:CV300,70,FALSE)/HLOOKUP("Shots",A1:CV300,70,FALSE))</f>
      </c>
      <c r="Q70" t="n" s="20611">
        <v>1.0</v>
      </c>
      <c r="R70" s="20612">
        <f>IF(HLOOKUP("Shots",A1:CV300,70,FALSE)=0,0,HLOOKUP("S6YD",A1:CV300,70,FALSE)/HLOOKUP("Shots",A1:CV300,70,FALSE))</f>
      </c>
      <c r="S70" t="n" s="20613">
        <v>2.0</v>
      </c>
      <c r="T70" s="20614">
        <f>IF(HLOOKUP("Shots",A1:CV300,70,FALSE)=0,0,HLOOKUP("Headers",A1:CV300,70,FALSE)/HLOOKUP("Shots",A1:CV300,70,FALSE))</f>
      </c>
      <c r="U70" t="n" s="20615">
        <v>0.0</v>
      </c>
      <c r="V70" s="20616">
        <f>IF(HLOOKUP("Shots",A1:CV300,70,FALSE)=0,0,HLOOKUP("SOT",A1:CV300,70,FALSE)/HLOOKUP("Shots",A1:CV300,70,FALSE))</f>
      </c>
      <c r="W70" s="20617">
        <f>IF(HLOOKUP("Shots",A1:CV300,70,FALSE)=0,0,HLOOKUP("Gs",A1:CV300,70,FALSE)/HLOOKUP("Shots",A1:CV300,70,FALSE))</f>
      </c>
      <c r="X70" t="n" s="20618">
        <v>0.0</v>
      </c>
      <c r="Y70" t="n" s="20619">
        <v>2.0</v>
      </c>
      <c r="Z70" t="n" s="20620">
        <v>0.0</v>
      </c>
      <c r="AA70" s="20621">
        <f>IF(HLOOKUP("KP",A1:CV300,70,FALSE)=0,0,HLOOKUP("As",A1:CV300,70,FALSE)/HLOOKUP("KP",A1:CV300,70,FALSE))</f>
      </c>
      <c r="AB70" s="20622"/>
      <c r="AC70" t="n" s="20623">
        <v>0.0</v>
      </c>
      <c r="AD70" t="n" s="20624">
        <v>0.0</v>
      </c>
      <c r="AE70" t="n" s="20625">
        <v>0.0</v>
      </c>
      <c r="AF70" t="n" s="20626">
        <v>0.0</v>
      </c>
      <c r="AG70" s="20627">
        <f>IF(HLOOKUP("BC",A1:CV300,70,FALSE)=0,0,HLOOKUP("Gs - BC",A1:CV300,70,FALSE)/HLOOKUP("BC",A1:CV300,70,FALSE))</f>
      </c>
      <c r="AH70" s="20628">
        <f>HLOOKUP("BC",A1:CV300,70,FALSE) - HLOOKUP("BC Miss",A1:CV300,70,FALSE)</f>
      </c>
      <c r="AI70" s="20629">
        <f>IF(HLOOKUP("Gs",A1:CV300,70,FALSE)=0,0,HLOOKUP("Gs - BC",A1:CV300,70,FALSE)/HLOOKUP("Gs",A1:CV300,70,FALSE))</f>
      </c>
      <c r="AJ70" t="n" s="20630">
        <v>0.0</v>
      </c>
      <c r="AK70" t="n" s="20631">
        <v>0.0</v>
      </c>
      <c r="AL70" s="20632">
        <f>HLOOKUP("BC",A1:CV300,70,FALSE) - (HLOOKUP("PK Gs",A1:CV300,70,FALSE) + HLOOKUP("PK Miss",A1:CV300,70,FALSE))</f>
      </c>
      <c r="AM70" s="20633">
        <f>HLOOKUP("BC Miss",A1:CV300,70,FALSE) - HLOOKUP("PK Miss",A1:CV300,70,FALSE)</f>
      </c>
      <c r="AN70" s="20634">
        <f>IF(HLOOKUP("BC - Open",A1:CV300,70,FALSE)=0,0,HLOOKUP("BC - Open Miss",A1:CV300,70,FALSE)/HLOOKUP("BC - Open",A1:CV300,70,FALSE))</f>
      </c>
      <c r="AO70" t="n" s="20635">
        <v>0.0</v>
      </c>
      <c r="AP70" s="20636">
        <f>IF(HLOOKUP("Gs",A1:CV300,70,FALSE)=0,0,HLOOKUP("GIB",A1:CV300,70,FALSE)/HLOOKUP("Gs",A1:CV300,70,FALSE))</f>
      </c>
      <c r="AQ70" t="n" s="20637">
        <v>0.0</v>
      </c>
      <c r="AR70" s="20638">
        <f>IF(HLOOKUP("Gs",A1:CV300,70,FALSE)=0,0,HLOOKUP("Gs - Open",A1:CV300,70,FALSE)/HLOOKUP("Gs",A1:CV300,70,FALSE))</f>
      </c>
      <c r="AS70" t="n" s="20639">
        <v>0.24</v>
      </c>
      <c r="AT70" t="n" s="20640">
        <v>0.01</v>
      </c>
      <c r="AU70" s="20641">
        <f>IF(HLOOKUP("Mins",A1:CV300,70,FALSE)=0,0,HLOOKUP("Pts",A1:CV300,70,FALSE)/HLOOKUP("Mins",A1:CV300,70,FALSE)* 90)</f>
      </c>
      <c r="AV70" s="20642">
        <f>IF(HLOOKUP("Apps",A1:CV300,70,FALSE)=0,0,HLOOKUP("Pts",A1:CV300,70,FALSE)/HLOOKUP("Apps",A1:CV300,70,FALSE)* 1)</f>
      </c>
      <c r="AW70" s="20643">
        <f>IF(HLOOKUP("Mins",A1:CV300,70,FALSE)=0,0,HLOOKUP("Gs",A1:CV300,70,FALSE)/HLOOKUP("Mins",A1:CV300,70,FALSE)* 90)</f>
      </c>
      <c r="AX70" s="20644">
        <f>IF(HLOOKUP("Mins",A1:CV300,70,FALSE)=0,0,HLOOKUP("Bonus",A1:CV300,70,FALSE)/HLOOKUP("Mins",A1:CV300,70,FALSE)* 90)</f>
      </c>
      <c r="AY70" s="20645">
        <f>IF(HLOOKUP("Mins",A1:CV300,70,FALSE)=0,0,HLOOKUP("BPS",A1:CV300,70,FALSE)/HLOOKUP("Mins",A1:CV300,70,FALSE)* 90)</f>
      </c>
      <c r="AZ70" s="20646">
        <f>IF(HLOOKUP("Mins",A1:CV300,70,FALSE)=0,0,HLOOKUP("Base BPS",A1:CV300,70,FALSE)/HLOOKUP("Mins",A1:CV300,70,FALSE)* 90)</f>
      </c>
      <c r="BA70" s="20647">
        <f>IF(HLOOKUP("Mins",A1:CV300,70,FALSE)=0,0,HLOOKUP("PenTchs",A1:CV300,70,FALSE)/HLOOKUP("Mins",A1:CV300,70,FALSE)* 90)</f>
      </c>
      <c r="BB70" s="20648">
        <f>IF(HLOOKUP("Mins",A1:CV300,70,FALSE)=0,0,HLOOKUP("Shots",A1:CV300,70,FALSE)/HLOOKUP("Mins",A1:CV300,70,FALSE)* 90)</f>
      </c>
      <c r="BC70" s="20649">
        <f>IF(HLOOKUP("Mins",A1:CV300,70,FALSE)=0,0,HLOOKUP("SIB",A1:CV300,70,FALSE)/HLOOKUP("Mins",A1:CV300,70,FALSE)* 90)</f>
      </c>
      <c r="BD70" s="20650">
        <f>IF(HLOOKUP("Mins",A1:CV300,70,FALSE)=0,0,HLOOKUP("S6YD",A1:CV300,70,FALSE)/HLOOKUP("Mins",A1:CV300,70,FALSE)* 90)</f>
      </c>
      <c r="BE70" s="20651">
        <f>IF(HLOOKUP("Mins",A1:CV300,70,FALSE)=0,0,HLOOKUP("Headers",A1:CV300,70,FALSE)/HLOOKUP("Mins",A1:CV300,70,FALSE)* 90)</f>
      </c>
      <c r="BF70" s="20652">
        <f>IF(HLOOKUP("Mins",A1:CV300,70,FALSE)=0,0,HLOOKUP("SOT",A1:CV300,70,FALSE)/HLOOKUP("Mins",A1:CV300,70,FALSE)* 90)</f>
      </c>
      <c r="BG70" s="20653">
        <f>IF(HLOOKUP("Mins",A1:CV300,70,FALSE)=0,0,HLOOKUP("As",A1:CV300,70,FALSE)/HLOOKUP("Mins",A1:CV300,70,FALSE)* 90)</f>
      </c>
      <c r="BH70" s="20654">
        <f>IF(HLOOKUP("Mins",A1:CV300,70,FALSE)=0,0,HLOOKUP("FPL As",A1:CV300,70,FALSE)/HLOOKUP("Mins",A1:CV300,70,FALSE)* 90)</f>
      </c>
      <c r="BI70" s="20655">
        <f>IF(HLOOKUP("Mins",A1:CV300,70,FALSE)=0,0,HLOOKUP("BC Created",A1:CV300,70,FALSE)/HLOOKUP("Mins",A1:CV300,70,FALSE)* 90)</f>
      </c>
      <c r="BJ70" s="20656">
        <f>IF(HLOOKUP("Mins",A1:CV300,70,FALSE)=0,0,HLOOKUP("KP",A1:CV300,70,FALSE)/HLOOKUP("Mins",A1:CV300,70,FALSE)* 90)</f>
      </c>
      <c r="BK70" s="20657">
        <f>IF(HLOOKUP("Mins",A1:CV300,70,FALSE)=0,0,HLOOKUP("BC",A1:CV300,70,FALSE)/HLOOKUP("Mins",A1:CV300,70,FALSE)* 90)</f>
      </c>
      <c r="BL70" s="20658">
        <f>IF(HLOOKUP("Mins",A1:CV300,70,FALSE)=0,0,HLOOKUP("BC Miss",A1:CV300,70,FALSE)/HLOOKUP("Mins",A1:CV300,70,FALSE)* 90)</f>
      </c>
      <c r="BM70" s="20659">
        <f>IF(HLOOKUP("Mins",A1:CV300,70,FALSE)=0,0,HLOOKUP("Gs - BC",A1:CV300,70,FALSE)/HLOOKUP("Mins",A1:CV300,70,FALSE)* 90)</f>
      </c>
      <c r="BN70" s="20660">
        <f>IF(HLOOKUP("Mins",A1:CV300,70,FALSE)=0,0,HLOOKUP("GIB",A1:CV300,70,FALSE)/HLOOKUP("Mins",A1:CV300,70,FALSE)* 90)</f>
      </c>
      <c r="BO70" s="20661">
        <f>IF(HLOOKUP("Mins",A1:CV300,70,FALSE)=0,0,HLOOKUP("Gs - Open",A1:CV300,70,FALSE)/HLOOKUP("Mins",A1:CV300,70,FALSE)* 90)</f>
      </c>
      <c r="BP70" s="20662">
        <f>IF(HLOOKUP("Mins",A1:CV300,70,FALSE)=0,0,HLOOKUP("ICT Index",A1:CV300,70,FALSE)/HLOOKUP("Mins",A1:CV300,70,FALSE)* 90)</f>
      </c>
      <c r="BQ70" s="20663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20664">
        <f>0.0885*HLOOKUP("KP/90",A1:CV300,70,FALSE)</f>
      </c>
      <c r="BS70" s="20665">
        <f>5*HLOOKUP("xG/90",A1:CV300,70,FALSE)+3*HLOOKUP("xA/90",A1:CV300,70,FALSE)</f>
      </c>
      <c r="BT70" s="20666">
        <f>HLOOKUP("xPts/90",A1:CV300,70,FALSE)-(5*0.75*(HLOOKUP("PK Gs",A1:CV300,70,FALSE)+HLOOKUP("PK Miss",A1:CV300,70,FALSE))*90/HLOOKUP("Mins",A1:CV300,70,FALSE))</f>
      </c>
      <c r="BU70" s="20667">
        <f>IF(HLOOKUP("Mins",A1:CV300,70,FALSE)=0,0,HLOOKUP("fsXG",A1:CV300,70,FALSE)/HLOOKUP("Mins",A1:CV300,70,FALSE)* 90)</f>
      </c>
      <c r="BV70" s="20668">
        <f>IF(HLOOKUP("Mins",A1:CV300,70,FALSE)=0,0,HLOOKUP("fsXA",A1:CV300,70,FALSE)/HLOOKUP("Mins",A1:CV300,70,FALSE)* 90)</f>
      </c>
      <c r="BW70" s="20669">
        <f>5*HLOOKUP("fsXG/90",A1:CV300,70,FALSE)+3*HLOOKUP("fsXA/90",A1:CV300,70,FALSE)</f>
      </c>
      <c r="BX70" t="n" s="20670">
        <v>0.1424054503440857</v>
      </c>
      <c r="BY70" t="n" s="20671">
        <v>0.0</v>
      </c>
      <c r="BZ70" s="20672">
        <f>5*HLOOKUP("uXG/90",A1:CV300,70,FALSE)+3*HLOOKUP("uXA/90",A1:CV300,70,FALSE)</f>
      </c>
    </row>
    <row r="71">
      <c r="A71" t="s" s="20673">
        <v>362</v>
      </c>
      <c r="B71" t="s" s="20674">
        <v>85</v>
      </c>
      <c r="C71" t="n" s="20675">
        <v>4.900000095367432</v>
      </c>
      <c r="D71" t="n" s="20676">
        <v>516.0</v>
      </c>
      <c r="E71" t="n" s="20677">
        <v>6.0</v>
      </c>
      <c r="F71" t="n" s="20678">
        <v>60.0</v>
      </c>
      <c r="G71" t="n" s="20679">
        <v>1.0</v>
      </c>
      <c r="H71" t="n" s="20680">
        <v>4.0</v>
      </c>
      <c r="I71" t="n" s="20681">
        <v>363.0</v>
      </c>
      <c r="J71" s="20682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20683">
        <v>0.0</v>
      </c>
      <c r="L71" t="n" s="20684">
        <v>8.0</v>
      </c>
      <c r="M71" t="n" s="20685">
        <v>1.0</v>
      </c>
      <c r="N71" t="n" s="20686">
        <v>2.0</v>
      </c>
      <c r="O71" t="n" s="20687">
        <v>1.0</v>
      </c>
      <c r="P71" s="20688">
        <f>IF(HLOOKUP("Shots",A1:CV300,71,FALSE)=0,0,HLOOKUP("SIB",A1:CV300,71,FALSE)/HLOOKUP("Shots",A1:CV300,71,FALSE))</f>
      </c>
      <c r="Q71" t="n" s="20689">
        <v>0.0</v>
      </c>
      <c r="R71" s="20690">
        <f>IF(HLOOKUP("Shots",A1:CV300,71,FALSE)=0,0,HLOOKUP("S6YD",A1:CV300,71,FALSE)/HLOOKUP("Shots",A1:CV300,71,FALSE))</f>
      </c>
      <c r="S71" t="n" s="20691">
        <v>0.0</v>
      </c>
      <c r="T71" s="20692">
        <f>IF(HLOOKUP("Shots",A1:CV300,71,FALSE)=0,0,HLOOKUP("Headers",A1:CV300,71,FALSE)/HLOOKUP("Shots",A1:CV300,71,FALSE))</f>
      </c>
      <c r="U71" t="n" s="20693">
        <v>1.0</v>
      </c>
      <c r="V71" s="20694">
        <f>IF(HLOOKUP("Shots",A1:CV300,71,FALSE)=0,0,HLOOKUP("SOT",A1:CV300,71,FALSE)/HLOOKUP("Shots",A1:CV300,71,FALSE))</f>
      </c>
      <c r="W71" s="20695">
        <f>IF(HLOOKUP("Shots",A1:CV300,71,FALSE)=0,0,HLOOKUP("Gs",A1:CV300,71,FALSE)/HLOOKUP("Shots",A1:CV300,71,FALSE))</f>
      </c>
      <c r="X71" t="n" s="20696">
        <v>0.0</v>
      </c>
      <c r="Y71" t="n" s="20697">
        <v>1.0</v>
      </c>
      <c r="Z71" t="n" s="20698">
        <v>11.0</v>
      </c>
      <c r="AA71" s="20699">
        <f>IF(HLOOKUP("KP",A1:CV300,71,FALSE)=0,0,HLOOKUP("As",A1:CV300,71,FALSE)/HLOOKUP("KP",A1:CV300,71,FALSE))</f>
      </c>
      <c r="AB71" s="20700"/>
      <c r="AC71" t="n" s="20701">
        <v>20.0</v>
      </c>
      <c r="AD71" t="n" s="20702">
        <v>5.0</v>
      </c>
      <c r="AE71" t="n" s="20703">
        <v>1.0</v>
      </c>
      <c r="AF71" t="n" s="20704">
        <v>0.0</v>
      </c>
      <c r="AG71" s="20705">
        <f>IF(HLOOKUP("BC",A1:CV300,71,FALSE)=0,0,HLOOKUP("Gs - BC",A1:CV300,71,FALSE)/HLOOKUP("BC",A1:CV300,71,FALSE))</f>
      </c>
      <c r="AH71" s="20706">
        <f>HLOOKUP("BC",A1:CV300,71,FALSE) - HLOOKUP("BC Miss",A1:CV300,71,FALSE)</f>
      </c>
      <c r="AI71" s="20707">
        <f>IF(HLOOKUP("Gs",A1:CV300,71,FALSE)=0,0,HLOOKUP("Gs - BC",A1:CV300,71,FALSE)/HLOOKUP("Gs",A1:CV300,71,FALSE))</f>
      </c>
      <c r="AJ71" t="n" s="20708">
        <v>1.0</v>
      </c>
      <c r="AK71" t="n" s="20709">
        <v>0.0</v>
      </c>
      <c r="AL71" s="20710">
        <f>HLOOKUP("BC",A1:CV300,71,FALSE) - (HLOOKUP("PK Gs",A1:CV300,71,FALSE) + HLOOKUP("PK Miss",A1:CV300,71,FALSE))</f>
      </c>
      <c r="AM71" s="20711">
        <f>HLOOKUP("BC Miss",A1:CV300,71,FALSE) - HLOOKUP("PK Miss",A1:CV300,71,FALSE)</f>
      </c>
      <c r="AN71" s="20712">
        <f>IF(HLOOKUP("BC - Open",A1:CV300,71,FALSE)=0,0,HLOOKUP("BC - Open Miss",A1:CV300,71,FALSE)/HLOOKUP("BC - Open",A1:CV300,71,FALSE))</f>
      </c>
      <c r="AO71" t="n" s="20713">
        <v>1.0</v>
      </c>
      <c r="AP71" s="20714">
        <f>IF(HLOOKUP("Gs",A1:CV300,71,FALSE)=0,0,HLOOKUP("GIB",A1:CV300,71,FALSE)/HLOOKUP("Gs",A1:CV300,71,FALSE))</f>
      </c>
      <c r="AQ71" t="n" s="20715">
        <v>0.0</v>
      </c>
      <c r="AR71" s="20716">
        <f>IF(HLOOKUP("Gs",A1:CV300,71,FALSE)=0,0,HLOOKUP("Gs - Open",A1:CV300,71,FALSE)/HLOOKUP("Gs",A1:CV300,71,FALSE))</f>
      </c>
      <c r="AS71" t="n" s="20717">
        <v>0.81</v>
      </c>
      <c r="AT71" t="n" s="20718">
        <v>1.13</v>
      </c>
      <c r="AU71" s="20719">
        <f>IF(HLOOKUP("Mins",A1:CV300,71,FALSE)=0,0,HLOOKUP("Pts",A1:CV300,71,FALSE)/HLOOKUP("Mins",A1:CV300,71,FALSE)* 90)</f>
      </c>
      <c r="AV71" s="20720">
        <f>IF(HLOOKUP("Apps",A1:CV300,71,FALSE)=0,0,HLOOKUP("Pts",A1:CV300,71,FALSE)/HLOOKUP("Apps",A1:CV300,71,FALSE)* 1)</f>
      </c>
      <c r="AW71" s="20721">
        <f>IF(HLOOKUP("Mins",A1:CV300,71,FALSE)=0,0,HLOOKUP("Gs",A1:CV300,71,FALSE)/HLOOKUP("Mins",A1:CV300,71,FALSE)* 90)</f>
      </c>
      <c r="AX71" s="20722">
        <f>IF(HLOOKUP("Mins",A1:CV300,71,FALSE)=0,0,HLOOKUP("Bonus",A1:CV300,71,FALSE)/HLOOKUP("Mins",A1:CV300,71,FALSE)* 90)</f>
      </c>
      <c r="AY71" s="20723">
        <f>IF(HLOOKUP("Mins",A1:CV300,71,FALSE)=0,0,HLOOKUP("BPS",A1:CV300,71,FALSE)/HLOOKUP("Mins",A1:CV300,71,FALSE)* 90)</f>
      </c>
      <c r="AZ71" s="20724">
        <f>IF(HLOOKUP("Mins",A1:CV300,71,FALSE)=0,0,HLOOKUP("Base BPS",A1:CV300,71,FALSE)/HLOOKUP("Mins",A1:CV300,71,FALSE)* 90)</f>
      </c>
      <c r="BA71" s="20725">
        <f>IF(HLOOKUP("Mins",A1:CV300,71,FALSE)=0,0,HLOOKUP("PenTchs",A1:CV300,71,FALSE)/HLOOKUP("Mins",A1:CV300,71,FALSE)* 90)</f>
      </c>
      <c r="BB71" s="20726">
        <f>IF(HLOOKUP("Mins",A1:CV300,71,FALSE)=0,0,HLOOKUP("Shots",A1:CV300,71,FALSE)/HLOOKUP("Mins",A1:CV300,71,FALSE)* 90)</f>
      </c>
      <c r="BC71" s="20727">
        <f>IF(HLOOKUP("Mins",A1:CV300,71,FALSE)=0,0,HLOOKUP("SIB",A1:CV300,71,FALSE)/HLOOKUP("Mins",A1:CV300,71,FALSE)* 90)</f>
      </c>
      <c r="BD71" s="20728">
        <f>IF(HLOOKUP("Mins",A1:CV300,71,FALSE)=0,0,HLOOKUP("S6YD",A1:CV300,71,FALSE)/HLOOKUP("Mins",A1:CV300,71,FALSE)* 90)</f>
      </c>
      <c r="BE71" s="20729">
        <f>IF(HLOOKUP("Mins",A1:CV300,71,FALSE)=0,0,HLOOKUP("Headers",A1:CV300,71,FALSE)/HLOOKUP("Mins",A1:CV300,71,FALSE)* 90)</f>
      </c>
      <c r="BF71" s="20730">
        <f>IF(HLOOKUP("Mins",A1:CV300,71,FALSE)=0,0,HLOOKUP("SOT",A1:CV300,71,FALSE)/HLOOKUP("Mins",A1:CV300,71,FALSE)* 90)</f>
      </c>
      <c r="BG71" s="20731">
        <f>IF(HLOOKUP("Mins",A1:CV300,71,FALSE)=0,0,HLOOKUP("As",A1:CV300,71,FALSE)/HLOOKUP("Mins",A1:CV300,71,FALSE)* 90)</f>
      </c>
      <c r="BH71" s="20732">
        <f>IF(HLOOKUP("Mins",A1:CV300,71,FALSE)=0,0,HLOOKUP("FPL As",A1:CV300,71,FALSE)/HLOOKUP("Mins",A1:CV300,71,FALSE)* 90)</f>
      </c>
      <c r="BI71" s="20733">
        <f>IF(HLOOKUP("Mins",A1:CV300,71,FALSE)=0,0,HLOOKUP("BC Created",A1:CV300,71,FALSE)/HLOOKUP("Mins",A1:CV300,71,FALSE)* 90)</f>
      </c>
      <c r="BJ71" s="20734">
        <f>IF(HLOOKUP("Mins",A1:CV300,71,FALSE)=0,0,HLOOKUP("KP",A1:CV300,71,FALSE)/HLOOKUP("Mins",A1:CV300,71,FALSE)* 90)</f>
      </c>
      <c r="BK71" s="20735">
        <f>IF(HLOOKUP("Mins",A1:CV300,71,FALSE)=0,0,HLOOKUP("BC",A1:CV300,71,FALSE)/HLOOKUP("Mins",A1:CV300,71,FALSE)* 90)</f>
      </c>
      <c r="BL71" s="20736">
        <f>IF(HLOOKUP("Mins",A1:CV300,71,FALSE)=0,0,HLOOKUP("BC Miss",A1:CV300,71,FALSE)/HLOOKUP("Mins",A1:CV300,71,FALSE)* 90)</f>
      </c>
      <c r="BM71" s="20737">
        <f>IF(HLOOKUP("Mins",A1:CV300,71,FALSE)=0,0,HLOOKUP("Gs - BC",A1:CV300,71,FALSE)/HLOOKUP("Mins",A1:CV300,71,FALSE)* 90)</f>
      </c>
      <c r="BN71" s="20738">
        <f>IF(HLOOKUP("Mins",A1:CV300,71,FALSE)=0,0,HLOOKUP("GIB",A1:CV300,71,FALSE)/HLOOKUP("Mins",A1:CV300,71,FALSE)* 90)</f>
      </c>
      <c r="BO71" s="20739">
        <f>IF(HLOOKUP("Mins",A1:CV300,71,FALSE)=0,0,HLOOKUP("Gs - Open",A1:CV300,71,FALSE)/HLOOKUP("Mins",A1:CV300,71,FALSE)* 90)</f>
      </c>
      <c r="BP71" s="20740">
        <f>IF(HLOOKUP("Mins",A1:CV300,71,FALSE)=0,0,HLOOKUP("ICT Index",A1:CV300,71,FALSE)/HLOOKUP("Mins",A1:CV300,71,FALSE)* 90)</f>
      </c>
      <c r="BQ71" s="20741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20742">
        <f>0.0885*HLOOKUP("KP/90",A1:CV300,71,FALSE)</f>
      </c>
      <c r="BS71" s="20743">
        <f>5*HLOOKUP("xG/90",A1:CV300,71,FALSE)+3*HLOOKUP("xA/90",A1:CV300,71,FALSE)</f>
      </c>
      <c r="BT71" s="20744">
        <f>HLOOKUP("xPts/90",A1:CV300,71,FALSE)-(5*0.75*(HLOOKUP("PK Gs",A1:CV300,71,FALSE)+HLOOKUP("PK Miss",A1:CV300,71,FALSE))*90/HLOOKUP("Mins",A1:CV300,71,FALSE))</f>
      </c>
      <c r="BU71" s="20745">
        <f>IF(HLOOKUP("Mins",A1:CV300,71,FALSE)=0,0,HLOOKUP("fsXG",A1:CV300,71,FALSE)/HLOOKUP("Mins",A1:CV300,71,FALSE)* 90)</f>
      </c>
      <c r="BV71" s="20746">
        <f>IF(HLOOKUP("Mins",A1:CV300,71,FALSE)=0,0,HLOOKUP("fsXA",A1:CV300,71,FALSE)/HLOOKUP("Mins",A1:CV300,71,FALSE)* 90)</f>
      </c>
      <c r="BW71" s="20747">
        <f>5*HLOOKUP("fsXG/90",A1:CV300,71,FALSE)+3*HLOOKUP("fsXA/90",A1:CV300,71,FALSE)</f>
      </c>
      <c r="BX71" t="n" s="20748">
        <v>0.13369137048721313</v>
      </c>
      <c r="BY71" t="n" s="20749">
        <v>0.32553741335868835</v>
      </c>
      <c r="BZ71" s="20750">
        <f>5*HLOOKUP("uXG/90",A1:CV300,71,FALSE)+3*HLOOKUP("uXA/90",A1:CV300,71,FALSE)</f>
      </c>
    </row>
    <row r="72">
      <c r="A72" t="s" s="20751">
        <v>363</v>
      </c>
      <c r="B72" t="s" s="20752">
        <v>127</v>
      </c>
      <c r="C72" t="n" s="20753">
        <v>5.300000190734863</v>
      </c>
      <c r="D72" t="n" s="20754">
        <v>204.0</v>
      </c>
      <c r="E72" t="n" s="20755">
        <v>4.0</v>
      </c>
      <c r="F72" t="n" s="20756">
        <v>42.0</v>
      </c>
      <c r="G72" t="n" s="20757">
        <v>1.0</v>
      </c>
      <c r="H72" t="n" s="20758">
        <v>3.0</v>
      </c>
      <c r="I72" t="n" s="20759">
        <v>158.0</v>
      </c>
      <c r="J72" s="20760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20761">
        <v>0.0</v>
      </c>
      <c r="L72" t="n" s="20762">
        <v>4.0</v>
      </c>
      <c r="M72" t="n" s="20763">
        <v>3.0</v>
      </c>
      <c r="N72" t="n" s="20764">
        <v>2.0</v>
      </c>
      <c r="O72" t="n" s="20765">
        <v>1.0</v>
      </c>
      <c r="P72" s="20766">
        <f>IF(HLOOKUP("Shots",A1:CV300,72,FALSE)=0,0,HLOOKUP("SIB",A1:CV300,72,FALSE)/HLOOKUP("Shots",A1:CV300,72,FALSE))</f>
      </c>
      <c r="Q72" t="n" s="20767">
        <v>0.0</v>
      </c>
      <c r="R72" s="20768">
        <f>IF(HLOOKUP("Shots",A1:CV300,72,FALSE)=0,0,HLOOKUP("S6YD",A1:CV300,72,FALSE)/HLOOKUP("Shots",A1:CV300,72,FALSE))</f>
      </c>
      <c r="S72" t="n" s="20769">
        <v>0.0</v>
      </c>
      <c r="T72" s="20770">
        <f>IF(HLOOKUP("Shots",A1:CV300,72,FALSE)=0,0,HLOOKUP("Headers",A1:CV300,72,FALSE)/HLOOKUP("Shots",A1:CV300,72,FALSE))</f>
      </c>
      <c r="U72" t="n" s="20771">
        <v>1.0</v>
      </c>
      <c r="V72" s="20772">
        <f>IF(HLOOKUP("Shots",A1:CV300,72,FALSE)=0,0,HLOOKUP("SOT",A1:CV300,72,FALSE)/HLOOKUP("Shots",A1:CV300,72,FALSE))</f>
      </c>
      <c r="W72" s="20773">
        <f>IF(HLOOKUP("Shots",A1:CV300,72,FALSE)=0,0,HLOOKUP("Gs",A1:CV300,72,FALSE)/HLOOKUP("Shots",A1:CV300,72,FALSE))</f>
      </c>
      <c r="X72" t="n" s="20774">
        <v>0.0</v>
      </c>
      <c r="Y72" t="n" s="20775">
        <v>2.0</v>
      </c>
      <c r="Z72" t="n" s="20776">
        <v>2.0</v>
      </c>
      <c r="AA72" s="20777">
        <f>IF(HLOOKUP("KP",A1:CV300,72,FALSE)=0,0,HLOOKUP("As",A1:CV300,72,FALSE)/HLOOKUP("KP",A1:CV300,72,FALSE))</f>
      </c>
      <c r="AB72" s="20778"/>
      <c r="AC72" t="n" s="20779">
        <v>14.0</v>
      </c>
      <c r="AD72" t="n" s="20780">
        <v>0.0</v>
      </c>
      <c r="AE72" t="n" s="20781">
        <v>1.0</v>
      </c>
      <c r="AF72" t="n" s="20782">
        <v>0.0</v>
      </c>
      <c r="AG72" s="20783">
        <f>IF(HLOOKUP("BC",A1:CV300,72,FALSE)=0,0,HLOOKUP("Gs - BC",A1:CV300,72,FALSE)/HLOOKUP("BC",A1:CV300,72,FALSE))</f>
      </c>
      <c r="AH72" s="20784">
        <f>HLOOKUP("BC",A1:CV300,72,FALSE) - HLOOKUP("BC Miss",A1:CV300,72,FALSE)</f>
      </c>
      <c r="AI72" s="20785">
        <f>IF(HLOOKUP("Gs",A1:CV300,72,FALSE)=0,0,HLOOKUP("Gs - BC",A1:CV300,72,FALSE)/HLOOKUP("Gs",A1:CV300,72,FALSE))</f>
      </c>
      <c r="AJ72" t="n" s="20786">
        <v>1.0</v>
      </c>
      <c r="AK72" t="n" s="20787">
        <v>0.0</v>
      </c>
      <c r="AL72" s="20788">
        <f>HLOOKUP("BC",A1:CV300,72,FALSE) - (HLOOKUP("PK Gs",A1:CV300,72,FALSE) + HLOOKUP("PK Miss",A1:CV300,72,FALSE))</f>
      </c>
      <c r="AM72" s="20789">
        <f>HLOOKUP("BC Miss",A1:CV300,72,FALSE) - HLOOKUP("PK Miss",A1:CV300,72,FALSE)</f>
      </c>
      <c r="AN72" s="20790">
        <f>IF(HLOOKUP("BC - Open",A1:CV300,72,FALSE)=0,0,HLOOKUP("BC - Open Miss",A1:CV300,72,FALSE)/HLOOKUP("BC - Open",A1:CV300,72,FALSE))</f>
      </c>
      <c r="AO72" t="n" s="20791">
        <v>1.0</v>
      </c>
      <c r="AP72" s="20792">
        <f>IF(HLOOKUP("Gs",A1:CV300,72,FALSE)=0,0,HLOOKUP("GIB",A1:CV300,72,FALSE)/HLOOKUP("Gs",A1:CV300,72,FALSE))</f>
      </c>
      <c r="AQ72" t="n" s="20793">
        <v>0.0</v>
      </c>
      <c r="AR72" s="20794">
        <f>IF(HLOOKUP("Gs",A1:CV300,72,FALSE)=0,0,HLOOKUP("Gs - Open",A1:CV300,72,FALSE)/HLOOKUP("Gs",A1:CV300,72,FALSE))</f>
      </c>
      <c r="AS72" t="n" s="20795">
        <v>0.81</v>
      </c>
      <c r="AT72" t="n" s="20796">
        <v>0.3</v>
      </c>
      <c r="AU72" s="20797">
        <f>IF(HLOOKUP("Mins",A1:CV300,72,FALSE)=0,0,HLOOKUP("Pts",A1:CV300,72,FALSE)/HLOOKUP("Mins",A1:CV300,72,FALSE)* 90)</f>
      </c>
      <c r="AV72" s="20798">
        <f>IF(HLOOKUP("Apps",A1:CV300,72,FALSE)=0,0,HLOOKUP("Pts",A1:CV300,72,FALSE)/HLOOKUP("Apps",A1:CV300,72,FALSE)* 1)</f>
      </c>
      <c r="AW72" s="20799">
        <f>IF(HLOOKUP("Mins",A1:CV300,72,FALSE)=0,0,HLOOKUP("Gs",A1:CV300,72,FALSE)/HLOOKUP("Mins",A1:CV300,72,FALSE)* 90)</f>
      </c>
      <c r="AX72" s="20800">
        <f>IF(HLOOKUP("Mins",A1:CV300,72,FALSE)=0,0,HLOOKUP("Bonus",A1:CV300,72,FALSE)/HLOOKUP("Mins",A1:CV300,72,FALSE)* 90)</f>
      </c>
      <c r="AY72" s="20801">
        <f>IF(HLOOKUP("Mins",A1:CV300,72,FALSE)=0,0,HLOOKUP("BPS",A1:CV300,72,FALSE)/HLOOKUP("Mins",A1:CV300,72,FALSE)* 90)</f>
      </c>
      <c r="AZ72" s="20802">
        <f>IF(HLOOKUP("Mins",A1:CV300,72,FALSE)=0,0,HLOOKUP("Base BPS",A1:CV300,72,FALSE)/HLOOKUP("Mins",A1:CV300,72,FALSE)* 90)</f>
      </c>
      <c r="BA72" s="20803">
        <f>IF(HLOOKUP("Mins",A1:CV300,72,FALSE)=0,0,HLOOKUP("PenTchs",A1:CV300,72,FALSE)/HLOOKUP("Mins",A1:CV300,72,FALSE)* 90)</f>
      </c>
      <c r="BB72" s="20804">
        <f>IF(HLOOKUP("Mins",A1:CV300,72,FALSE)=0,0,HLOOKUP("Shots",A1:CV300,72,FALSE)/HLOOKUP("Mins",A1:CV300,72,FALSE)* 90)</f>
      </c>
      <c r="BC72" s="20805">
        <f>IF(HLOOKUP("Mins",A1:CV300,72,FALSE)=0,0,HLOOKUP("SIB",A1:CV300,72,FALSE)/HLOOKUP("Mins",A1:CV300,72,FALSE)* 90)</f>
      </c>
      <c r="BD72" s="20806">
        <f>IF(HLOOKUP("Mins",A1:CV300,72,FALSE)=0,0,HLOOKUP("S6YD",A1:CV300,72,FALSE)/HLOOKUP("Mins",A1:CV300,72,FALSE)* 90)</f>
      </c>
      <c r="BE72" s="20807">
        <f>IF(HLOOKUP("Mins",A1:CV300,72,FALSE)=0,0,HLOOKUP("Headers",A1:CV300,72,FALSE)/HLOOKUP("Mins",A1:CV300,72,FALSE)* 90)</f>
      </c>
      <c r="BF72" s="20808">
        <f>IF(HLOOKUP("Mins",A1:CV300,72,FALSE)=0,0,HLOOKUP("SOT",A1:CV300,72,FALSE)/HLOOKUP("Mins",A1:CV300,72,FALSE)* 90)</f>
      </c>
      <c r="BG72" s="20809">
        <f>IF(HLOOKUP("Mins",A1:CV300,72,FALSE)=0,0,HLOOKUP("As",A1:CV300,72,FALSE)/HLOOKUP("Mins",A1:CV300,72,FALSE)* 90)</f>
      </c>
      <c r="BH72" s="20810">
        <f>IF(HLOOKUP("Mins",A1:CV300,72,FALSE)=0,0,HLOOKUP("FPL As",A1:CV300,72,FALSE)/HLOOKUP("Mins",A1:CV300,72,FALSE)* 90)</f>
      </c>
      <c r="BI72" s="20811">
        <f>IF(HLOOKUP("Mins",A1:CV300,72,FALSE)=0,0,HLOOKUP("BC Created",A1:CV300,72,FALSE)/HLOOKUP("Mins",A1:CV300,72,FALSE)* 90)</f>
      </c>
      <c r="BJ72" s="20812">
        <f>IF(HLOOKUP("Mins",A1:CV300,72,FALSE)=0,0,HLOOKUP("KP",A1:CV300,72,FALSE)/HLOOKUP("Mins",A1:CV300,72,FALSE)* 90)</f>
      </c>
      <c r="BK72" s="20813">
        <f>IF(HLOOKUP("Mins",A1:CV300,72,FALSE)=0,0,HLOOKUP("BC",A1:CV300,72,FALSE)/HLOOKUP("Mins",A1:CV300,72,FALSE)* 90)</f>
      </c>
      <c r="BL72" s="20814">
        <f>IF(HLOOKUP("Mins",A1:CV300,72,FALSE)=0,0,HLOOKUP("BC Miss",A1:CV300,72,FALSE)/HLOOKUP("Mins",A1:CV300,72,FALSE)* 90)</f>
      </c>
      <c r="BM72" s="20815">
        <f>IF(HLOOKUP("Mins",A1:CV300,72,FALSE)=0,0,HLOOKUP("Gs - BC",A1:CV300,72,FALSE)/HLOOKUP("Mins",A1:CV300,72,FALSE)* 90)</f>
      </c>
      <c r="BN72" s="20816">
        <f>IF(HLOOKUP("Mins",A1:CV300,72,FALSE)=0,0,HLOOKUP("GIB",A1:CV300,72,FALSE)/HLOOKUP("Mins",A1:CV300,72,FALSE)* 90)</f>
      </c>
      <c r="BO72" s="20817">
        <f>IF(HLOOKUP("Mins",A1:CV300,72,FALSE)=0,0,HLOOKUP("Gs - Open",A1:CV300,72,FALSE)/HLOOKUP("Mins",A1:CV300,72,FALSE)* 90)</f>
      </c>
      <c r="BP72" s="20818">
        <f>IF(HLOOKUP("Mins",A1:CV300,72,FALSE)=0,0,HLOOKUP("ICT Index",A1:CV300,72,FALSE)/HLOOKUP("Mins",A1:CV300,72,FALSE)* 90)</f>
      </c>
      <c r="BQ72" s="20819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20820">
        <f>0.0885*HLOOKUP("KP/90",A1:CV300,72,FALSE)</f>
      </c>
      <c r="BS72" s="20821">
        <f>5*HLOOKUP("xG/90",A1:CV300,72,FALSE)+3*HLOOKUP("xA/90",A1:CV300,72,FALSE)</f>
      </c>
      <c r="BT72" s="20822">
        <f>HLOOKUP("xPts/90",A1:CV300,72,FALSE)-(5*0.75*(HLOOKUP("PK Gs",A1:CV300,72,FALSE)+HLOOKUP("PK Miss",A1:CV300,72,FALSE))*90/HLOOKUP("Mins",A1:CV300,72,FALSE))</f>
      </c>
      <c r="BU72" s="20823">
        <f>IF(HLOOKUP("Mins",A1:CV300,72,FALSE)=0,0,HLOOKUP("fsXG",A1:CV300,72,FALSE)/HLOOKUP("Mins",A1:CV300,72,FALSE)* 90)</f>
      </c>
      <c r="BV72" s="20824">
        <f>IF(HLOOKUP("Mins",A1:CV300,72,FALSE)=0,0,HLOOKUP("fsXA",A1:CV300,72,FALSE)/HLOOKUP("Mins",A1:CV300,72,FALSE)* 90)</f>
      </c>
      <c r="BW72" s="20825">
        <f>5*HLOOKUP("fsXG/90",A1:CV300,72,FALSE)+3*HLOOKUP("fsXA/90",A1:CV300,72,FALSE)</f>
      </c>
      <c r="BX72" t="n" s="20826">
        <v>0.3506845235824585</v>
      </c>
      <c r="BY72" t="n" s="20827">
        <v>0.070173479616642</v>
      </c>
      <c r="BZ72" s="20828">
        <f>5*HLOOKUP("uXG/90",A1:CV300,72,FALSE)+3*HLOOKUP("uXA/90",A1:CV300,72,FALSE)</f>
      </c>
    </row>
    <row r="73">
      <c r="A73" t="s" s="20829">
        <v>364</v>
      </c>
      <c r="B73" t="s" s="20830">
        <v>107</v>
      </c>
      <c r="C73" t="n" s="20831">
        <v>6.699999809265137</v>
      </c>
      <c r="D73" t="n" s="20832">
        <v>450.0</v>
      </c>
      <c r="E73" t="n" s="20833">
        <v>5.0</v>
      </c>
      <c r="F73" t="n" s="20834">
        <v>58.0</v>
      </c>
      <c r="G73" t="n" s="20835">
        <v>0.0</v>
      </c>
      <c r="H73" t="n" s="20836">
        <v>7.0</v>
      </c>
      <c r="I73" t="n" s="20837">
        <v>271.0</v>
      </c>
      <c r="J73" s="20838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20839">
        <v>0.0</v>
      </c>
      <c r="L73" t="n" s="20840">
        <v>6.0</v>
      </c>
      <c r="M73" t="n" s="20841">
        <v>3.0</v>
      </c>
      <c r="N73" t="n" s="20842">
        <v>7.0</v>
      </c>
      <c r="O73" t="n" s="20843">
        <v>1.0</v>
      </c>
      <c r="P73" s="20844">
        <f>IF(HLOOKUP("Shots",A1:CV300,73,FALSE)=0,0,HLOOKUP("SIB",A1:CV300,73,FALSE)/HLOOKUP("Shots",A1:CV300,73,FALSE))</f>
      </c>
      <c r="Q73" t="n" s="20845">
        <v>0.0</v>
      </c>
      <c r="R73" s="20846">
        <f>IF(HLOOKUP("Shots",A1:CV300,73,FALSE)=0,0,HLOOKUP("S6YD",A1:CV300,73,FALSE)/HLOOKUP("Shots",A1:CV300,73,FALSE))</f>
      </c>
      <c r="S73" t="n" s="20847">
        <v>0.0</v>
      </c>
      <c r="T73" s="20848">
        <f>IF(HLOOKUP("Shots",A1:CV300,73,FALSE)=0,0,HLOOKUP("Headers",A1:CV300,73,FALSE)/HLOOKUP("Shots",A1:CV300,73,FALSE))</f>
      </c>
      <c r="U73" t="n" s="20849">
        <v>0.0</v>
      </c>
      <c r="V73" s="20850">
        <f>IF(HLOOKUP("Shots",A1:CV300,73,FALSE)=0,0,HLOOKUP("SOT",A1:CV300,73,FALSE)/HLOOKUP("Shots",A1:CV300,73,FALSE))</f>
      </c>
      <c r="W73" s="20851">
        <f>IF(HLOOKUP("Shots",A1:CV300,73,FALSE)=0,0,HLOOKUP("Gs",A1:CV300,73,FALSE)/HLOOKUP("Shots",A1:CV300,73,FALSE))</f>
      </c>
      <c r="X73" t="n" s="20852">
        <v>1.0</v>
      </c>
      <c r="Y73" t="n" s="20853">
        <v>1.0</v>
      </c>
      <c r="Z73" t="n" s="20854">
        <v>6.0</v>
      </c>
      <c r="AA73" s="20855">
        <f>IF(HLOOKUP("KP",A1:CV300,73,FALSE)=0,0,HLOOKUP("As",A1:CV300,73,FALSE)/HLOOKUP("KP",A1:CV300,73,FALSE))</f>
      </c>
      <c r="AB73" s="20856"/>
      <c r="AC73" t="n" s="20857">
        <v>20.0</v>
      </c>
      <c r="AD73" t="n" s="20858">
        <v>0.0</v>
      </c>
      <c r="AE73" t="n" s="20859">
        <v>0.0</v>
      </c>
      <c r="AF73" t="n" s="20860">
        <v>0.0</v>
      </c>
      <c r="AG73" s="20861">
        <f>IF(HLOOKUP("BC",A1:CV300,73,FALSE)=0,0,HLOOKUP("Gs - BC",A1:CV300,73,FALSE)/HLOOKUP("BC",A1:CV300,73,FALSE))</f>
      </c>
      <c r="AH73" s="20862">
        <f>HLOOKUP("BC",A1:CV300,73,FALSE) - HLOOKUP("BC Miss",A1:CV300,73,FALSE)</f>
      </c>
      <c r="AI73" s="20863">
        <f>IF(HLOOKUP("Gs",A1:CV300,73,FALSE)=0,0,HLOOKUP("Gs - BC",A1:CV300,73,FALSE)/HLOOKUP("Gs",A1:CV300,73,FALSE))</f>
      </c>
      <c r="AJ73" t="n" s="20864">
        <v>0.0</v>
      </c>
      <c r="AK73" t="n" s="20865">
        <v>0.0</v>
      </c>
      <c r="AL73" s="20866">
        <f>HLOOKUP("BC",A1:CV300,73,FALSE) - (HLOOKUP("PK Gs",A1:CV300,73,FALSE) + HLOOKUP("PK Miss",A1:CV300,73,FALSE))</f>
      </c>
      <c r="AM73" s="20867">
        <f>HLOOKUP("BC Miss",A1:CV300,73,FALSE) - HLOOKUP("PK Miss",A1:CV300,73,FALSE)</f>
      </c>
      <c r="AN73" s="20868">
        <f>IF(HLOOKUP("BC - Open",A1:CV300,73,FALSE)=0,0,HLOOKUP("BC - Open Miss",A1:CV300,73,FALSE)/HLOOKUP("BC - Open",A1:CV300,73,FALSE))</f>
      </c>
      <c r="AO73" t="n" s="20869">
        <v>0.0</v>
      </c>
      <c r="AP73" s="20870">
        <f>IF(HLOOKUP("Gs",A1:CV300,73,FALSE)=0,0,HLOOKUP("GIB",A1:CV300,73,FALSE)/HLOOKUP("Gs",A1:CV300,73,FALSE))</f>
      </c>
      <c r="AQ73" t="n" s="20871">
        <v>0.0</v>
      </c>
      <c r="AR73" s="20872">
        <f>IF(HLOOKUP("Gs",A1:CV300,73,FALSE)=0,0,HLOOKUP("Gs - Open",A1:CV300,73,FALSE)/HLOOKUP("Gs",A1:CV300,73,FALSE))</f>
      </c>
      <c r="AS73" t="n" s="20873">
        <v>0.22</v>
      </c>
      <c r="AT73" t="n" s="20874">
        <v>0.5</v>
      </c>
      <c r="AU73" s="20875">
        <f>IF(HLOOKUP("Mins",A1:CV300,73,FALSE)=0,0,HLOOKUP("Pts",A1:CV300,73,FALSE)/HLOOKUP("Mins",A1:CV300,73,FALSE)* 90)</f>
      </c>
      <c r="AV73" s="20876">
        <f>IF(HLOOKUP("Apps",A1:CV300,73,FALSE)=0,0,HLOOKUP("Pts",A1:CV300,73,FALSE)/HLOOKUP("Apps",A1:CV300,73,FALSE)* 1)</f>
      </c>
      <c r="AW73" s="20877">
        <f>IF(HLOOKUP("Mins",A1:CV300,73,FALSE)=0,0,HLOOKUP("Gs",A1:CV300,73,FALSE)/HLOOKUP("Mins",A1:CV300,73,FALSE)* 90)</f>
      </c>
      <c r="AX73" s="20878">
        <f>IF(HLOOKUP("Mins",A1:CV300,73,FALSE)=0,0,HLOOKUP("Bonus",A1:CV300,73,FALSE)/HLOOKUP("Mins",A1:CV300,73,FALSE)* 90)</f>
      </c>
      <c r="AY73" s="20879">
        <f>IF(HLOOKUP("Mins",A1:CV300,73,FALSE)=0,0,HLOOKUP("BPS",A1:CV300,73,FALSE)/HLOOKUP("Mins",A1:CV300,73,FALSE)* 90)</f>
      </c>
      <c r="AZ73" s="20880">
        <f>IF(HLOOKUP("Mins",A1:CV300,73,FALSE)=0,0,HLOOKUP("Base BPS",A1:CV300,73,FALSE)/HLOOKUP("Mins",A1:CV300,73,FALSE)* 90)</f>
      </c>
      <c r="BA73" s="20881">
        <f>IF(HLOOKUP("Mins",A1:CV300,73,FALSE)=0,0,HLOOKUP("PenTchs",A1:CV300,73,FALSE)/HLOOKUP("Mins",A1:CV300,73,FALSE)* 90)</f>
      </c>
      <c r="BB73" s="20882">
        <f>IF(HLOOKUP("Mins",A1:CV300,73,FALSE)=0,0,HLOOKUP("Shots",A1:CV300,73,FALSE)/HLOOKUP("Mins",A1:CV300,73,FALSE)* 90)</f>
      </c>
      <c r="BC73" s="20883">
        <f>IF(HLOOKUP("Mins",A1:CV300,73,FALSE)=0,0,HLOOKUP("SIB",A1:CV300,73,FALSE)/HLOOKUP("Mins",A1:CV300,73,FALSE)* 90)</f>
      </c>
      <c r="BD73" s="20884">
        <f>IF(HLOOKUP("Mins",A1:CV300,73,FALSE)=0,0,HLOOKUP("S6YD",A1:CV300,73,FALSE)/HLOOKUP("Mins",A1:CV300,73,FALSE)* 90)</f>
      </c>
      <c r="BE73" s="20885">
        <f>IF(HLOOKUP("Mins",A1:CV300,73,FALSE)=0,0,HLOOKUP("Headers",A1:CV300,73,FALSE)/HLOOKUP("Mins",A1:CV300,73,FALSE)* 90)</f>
      </c>
      <c r="BF73" s="20886">
        <f>IF(HLOOKUP("Mins",A1:CV300,73,FALSE)=0,0,HLOOKUP("SOT",A1:CV300,73,FALSE)/HLOOKUP("Mins",A1:CV300,73,FALSE)* 90)</f>
      </c>
      <c r="BG73" s="20887">
        <f>IF(HLOOKUP("Mins",A1:CV300,73,FALSE)=0,0,HLOOKUP("As",A1:CV300,73,FALSE)/HLOOKUP("Mins",A1:CV300,73,FALSE)* 90)</f>
      </c>
      <c r="BH73" s="20888">
        <f>IF(HLOOKUP("Mins",A1:CV300,73,FALSE)=0,0,HLOOKUP("FPL As",A1:CV300,73,FALSE)/HLOOKUP("Mins",A1:CV300,73,FALSE)* 90)</f>
      </c>
      <c r="BI73" s="20889">
        <f>IF(HLOOKUP("Mins",A1:CV300,73,FALSE)=0,0,HLOOKUP("BC Created",A1:CV300,73,FALSE)/HLOOKUP("Mins",A1:CV300,73,FALSE)* 90)</f>
      </c>
      <c r="BJ73" s="20890">
        <f>IF(HLOOKUP("Mins",A1:CV300,73,FALSE)=0,0,HLOOKUP("KP",A1:CV300,73,FALSE)/HLOOKUP("Mins",A1:CV300,73,FALSE)* 90)</f>
      </c>
      <c r="BK73" s="20891">
        <f>IF(HLOOKUP("Mins",A1:CV300,73,FALSE)=0,0,HLOOKUP("BC",A1:CV300,73,FALSE)/HLOOKUP("Mins",A1:CV300,73,FALSE)* 90)</f>
      </c>
      <c r="BL73" s="20892">
        <f>IF(HLOOKUP("Mins",A1:CV300,73,FALSE)=0,0,HLOOKUP("BC Miss",A1:CV300,73,FALSE)/HLOOKUP("Mins",A1:CV300,73,FALSE)* 90)</f>
      </c>
      <c r="BM73" s="20893">
        <f>IF(HLOOKUP("Mins",A1:CV300,73,FALSE)=0,0,HLOOKUP("Gs - BC",A1:CV300,73,FALSE)/HLOOKUP("Mins",A1:CV300,73,FALSE)* 90)</f>
      </c>
      <c r="BN73" s="20894">
        <f>IF(HLOOKUP("Mins",A1:CV300,73,FALSE)=0,0,HLOOKUP("GIB",A1:CV300,73,FALSE)/HLOOKUP("Mins",A1:CV300,73,FALSE)* 90)</f>
      </c>
      <c r="BO73" s="20895">
        <f>IF(HLOOKUP("Mins",A1:CV300,73,FALSE)=0,0,HLOOKUP("Gs - Open",A1:CV300,73,FALSE)/HLOOKUP("Mins",A1:CV300,73,FALSE)* 90)</f>
      </c>
      <c r="BP73" s="20896">
        <f>IF(HLOOKUP("Mins",A1:CV300,73,FALSE)=0,0,HLOOKUP("ICT Index",A1:CV300,73,FALSE)/HLOOKUP("Mins",A1:CV300,73,FALSE)* 90)</f>
      </c>
      <c r="BQ73" s="20897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20898">
        <f>0.0885*HLOOKUP("KP/90",A1:CV300,73,FALSE)</f>
      </c>
      <c r="BS73" s="20899">
        <f>5*HLOOKUP("xG/90",A1:CV300,73,FALSE)+3*HLOOKUP("xA/90",A1:CV300,73,FALSE)</f>
      </c>
      <c r="BT73" s="20900">
        <f>HLOOKUP("xPts/90",A1:CV300,73,FALSE)-(5*0.75*(HLOOKUP("PK Gs",A1:CV300,73,FALSE)+HLOOKUP("PK Miss",A1:CV300,73,FALSE))*90/HLOOKUP("Mins",A1:CV300,73,FALSE))</f>
      </c>
      <c r="BU73" s="20901">
        <f>IF(HLOOKUP("Mins",A1:CV300,73,FALSE)=0,0,HLOOKUP("fsXG",A1:CV300,73,FALSE)/HLOOKUP("Mins",A1:CV300,73,FALSE)* 90)</f>
      </c>
      <c r="BV73" s="20902">
        <f>IF(HLOOKUP("Mins",A1:CV300,73,FALSE)=0,0,HLOOKUP("fsXA",A1:CV300,73,FALSE)/HLOOKUP("Mins",A1:CV300,73,FALSE)* 90)</f>
      </c>
      <c r="BW73" s="20903">
        <f>5*HLOOKUP("fsXG/90",A1:CV300,73,FALSE)+3*HLOOKUP("fsXA/90",A1:CV300,73,FALSE)</f>
      </c>
      <c r="BX73" t="n" s="20904">
        <v>0.0406808964908123</v>
      </c>
      <c r="BY73" t="n" s="20905">
        <v>0.047801461070775986</v>
      </c>
      <c r="BZ73" s="20906">
        <f>5*HLOOKUP("uXG/90",A1:CV300,73,FALSE)+3*HLOOKUP("uXA/90",A1:CV300,73,FALSE)</f>
      </c>
    </row>
    <row r="74">
      <c r="A74" t="s" s="20907">
        <v>365</v>
      </c>
      <c r="B74" t="s" s="20908">
        <v>82</v>
      </c>
      <c r="C74" t="n" s="20909">
        <v>5.300000190734863</v>
      </c>
      <c r="D74" t="n" s="20910">
        <v>207.0</v>
      </c>
      <c r="E74" t="n" s="20911">
        <v>4.0</v>
      </c>
      <c r="F74" t="n" s="20912">
        <v>36.0</v>
      </c>
      <c r="G74" t="n" s="20913">
        <v>1.0</v>
      </c>
      <c r="H74" t="n" s="20914">
        <v>3.0</v>
      </c>
      <c r="I74" t="n" s="20915">
        <v>136.0</v>
      </c>
      <c r="J74" s="20916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20917">
        <v>0.0</v>
      </c>
      <c r="L74" t="n" s="20918">
        <v>1.0</v>
      </c>
      <c r="M74" t="n" s="20919">
        <v>4.0</v>
      </c>
      <c r="N74" t="n" s="20920">
        <v>2.0</v>
      </c>
      <c r="O74" t="n" s="20921">
        <v>1.0</v>
      </c>
      <c r="P74" s="20922">
        <f>IF(HLOOKUP("Shots",A1:CV300,74,FALSE)=0,0,HLOOKUP("SIB",A1:CV300,74,FALSE)/HLOOKUP("Shots",A1:CV300,74,FALSE))</f>
      </c>
      <c r="Q74" t="n" s="20923">
        <v>1.0</v>
      </c>
      <c r="R74" s="20924">
        <f>IF(HLOOKUP("Shots",A1:CV300,74,FALSE)=0,0,HLOOKUP("S6YD",A1:CV300,74,FALSE)/HLOOKUP("Shots",A1:CV300,74,FALSE))</f>
      </c>
      <c r="S74" t="n" s="20925">
        <v>0.0</v>
      </c>
      <c r="T74" s="20926">
        <f>IF(HLOOKUP("Shots",A1:CV300,74,FALSE)=0,0,HLOOKUP("Headers",A1:CV300,74,FALSE)/HLOOKUP("Shots",A1:CV300,74,FALSE))</f>
      </c>
      <c r="U74" t="n" s="20927">
        <v>1.0</v>
      </c>
      <c r="V74" s="20928">
        <f>IF(HLOOKUP("Shots",A1:CV300,74,FALSE)=0,0,HLOOKUP("SOT",A1:CV300,74,FALSE)/HLOOKUP("Shots",A1:CV300,74,FALSE))</f>
      </c>
      <c r="W74" s="20929">
        <f>IF(HLOOKUP("Shots",A1:CV300,74,FALSE)=0,0,HLOOKUP("Gs",A1:CV300,74,FALSE)/HLOOKUP("Shots",A1:CV300,74,FALSE))</f>
      </c>
      <c r="X74" t="n" s="20930">
        <v>0.0</v>
      </c>
      <c r="Y74" t="n" s="20931">
        <v>2.0</v>
      </c>
      <c r="Z74" t="n" s="20932">
        <v>2.0</v>
      </c>
      <c r="AA74" s="20933">
        <f>IF(HLOOKUP("KP",A1:CV300,74,FALSE)=0,0,HLOOKUP("As",A1:CV300,74,FALSE)/HLOOKUP("KP",A1:CV300,74,FALSE))</f>
      </c>
      <c r="AB74" s="20934"/>
      <c r="AC74" t="n" s="20935">
        <v>50.0</v>
      </c>
      <c r="AD74" t="n" s="20936">
        <v>0.0</v>
      </c>
      <c r="AE74" t="n" s="20937">
        <v>1.0</v>
      </c>
      <c r="AF74" t="n" s="20938">
        <v>0.0</v>
      </c>
      <c r="AG74" s="20939">
        <f>IF(HLOOKUP("BC",A1:CV300,74,FALSE)=0,0,HLOOKUP("Gs - BC",A1:CV300,74,FALSE)/HLOOKUP("BC",A1:CV300,74,FALSE))</f>
      </c>
      <c r="AH74" s="20940">
        <f>HLOOKUP("BC",A1:CV300,74,FALSE) - HLOOKUP("BC Miss",A1:CV300,74,FALSE)</f>
      </c>
      <c r="AI74" s="20941">
        <f>IF(HLOOKUP("Gs",A1:CV300,74,FALSE)=0,0,HLOOKUP("Gs - BC",A1:CV300,74,FALSE)/HLOOKUP("Gs",A1:CV300,74,FALSE))</f>
      </c>
      <c r="AJ74" t="n" s="20942">
        <v>0.0</v>
      </c>
      <c r="AK74" t="n" s="20943">
        <v>0.0</v>
      </c>
      <c r="AL74" s="20944">
        <f>HLOOKUP("BC",A1:CV300,74,FALSE) - (HLOOKUP("PK Gs",A1:CV300,74,FALSE) + HLOOKUP("PK Miss",A1:CV300,74,FALSE))</f>
      </c>
      <c r="AM74" s="20945">
        <f>HLOOKUP("BC Miss",A1:CV300,74,FALSE) - HLOOKUP("PK Miss",A1:CV300,74,FALSE)</f>
      </c>
      <c r="AN74" s="20946">
        <f>IF(HLOOKUP("BC - Open",A1:CV300,74,FALSE)=0,0,HLOOKUP("BC - Open Miss",A1:CV300,74,FALSE)/HLOOKUP("BC - Open",A1:CV300,74,FALSE))</f>
      </c>
      <c r="AO74" t="n" s="20947">
        <v>1.0</v>
      </c>
      <c r="AP74" s="20948">
        <f>IF(HLOOKUP("Gs",A1:CV300,74,FALSE)=0,0,HLOOKUP("GIB",A1:CV300,74,FALSE)/HLOOKUP("Gs",A1:CV300,74,FALSE))</f>
      </c>
      <c r="AQ74" t="n" s="20949">
        <v>0.0</v>
      </c>
      <c r="AR74" s="20950">
        <f>IF(HLOOKUP("Gs",A1:CV300,74,FALSE)=0,0,HLOOKUP("Gs - Open",A1:CV300,74,FALSE)/HLOOKUP("Gs",A1:CV300,74,FALSE))</f>
      </c>
      <c r="AS74" t="n" s="20951">
        <v>0.26</v>
      </c>
      <c r="AT74" t="n" s="20952">
        <v>0.1</v>
      </c>
      <c r="AU74" s="20953">
        <f>IF(HLOOKUP("Mins",A1:CV300,74,FALSE)=0,0,HLOOKUP("Pts",A1:CV300,74,FALSE)/HLOOKUP("Mins",A1:CV300,74,FALSE)* 90)</f>
      </c>
      <c r="AV74" s="20954">
        <f>IF(HLOOKUP("Apps",A1:CV300,74,FALSE)=0,0,HLOOKUP("Pts",A1:CV300,74,FALSE)/HLOOKUP("Apps",A1:CV300,74,FALSE)* 1)</f>
      </c>
      <c r="AW74" s="20955">
        <f>IF(HLOOKUP("Mins",A1:CV300,74,FALSE)=0,0,HLOOKUP("Gs",A1:CV300,74,FALSE)/HLOOKUP("Mins",A1:CV300,74,FALSE)* 90)</f>
      </c>
      <c r="AX74" s="20956">
        <f>IF(HLOOKUP("Mins",A1:CV300,74,FALSE)=0,0,HLOOKUP("Bonus",A1:CV300,74,FALSE)/HLOOKUP("Mins",A1:CV300,74,FALSE)* 90)</f>
      </c>
      <c r="AY74" s="20957">
        <f>IF(HLOOKUP("Mins",A1:CV300,74,FALSE)=0,0,HLOOKUP("BPS",A1:CV300,74,FALSE)/HLOOKUP("Mins",A1:CV300,74,FALSE)* 90)</f>
      </c>
      <c r="AZ74" s="20958">
        <f>IF(HLOOKUP("Mins",A1:CV300,74,FALSE)=0,0,HLOOKUP("Base BPS",A1:CV300,74,FALSE)/HLOOKUP("Mins",A1:CV300,74,FALSE)* 90)</f>
      </c>
      <c r="BA74" s="20959">
        <f>IF(HLOOKUP("Mins",A1:CV300,74,FALSE)=0,0,HLOOKUP("PenTchs",A1:CV300,74,FALSE)/HLOOKUP("Mins",A1:CV300,74,FALSE)* 90)</f>
      </c>
      <c r="BB74" s="20960">
        <f>IF(HLOOKUP("Mins",A1:CV300,74,FALSE)=0,0,HLOOKUP("Shots",A1:CV300,74,FALSE)/HLOOKUP("Mins",A1:CV300,74,FALSE)* 90)</f>
      </c>
      <c r="BC74" s="20961">
        <f>IF(HLOOKUP("Mins",A1:CV300,74,FALSE)=0,0,HLOOKUP("SIB",A1:CV300,74,FALSE)/HLOOKUP("Mins",A1:CV300,74,FALSE)* 90)</f>
      </c>
      <c r="BD74" s="20962">
        <f>IF(HLOOKUP("Mins",A1:CV300,74,FALSE)=0,0,HLOOKUP("S6YD",A1:CV300,74,FALSE)/HLOOKUP("Mins",A1:CV300,74,FALSE)* 90)</f>
      </c>
      <c r="BE74" s="20963">
        <f>IF(HLOOKUP("Mins",A1:CV300,74,FALSE)=0,0,HLOOKUP("Headers",A1:CV300,74,FALSE)/HLOOKUP("Mins",A1:CV300,74,FALSE)* 90)</f>
      </c>
      <c r="BF74" s="20964">
        <f>IF(HLOOKUP("Mins",A1:CV300,74,FALSE)=0,0,HLOOKUP("SOT",A1:CV300,74,FALSE)/HLOOKUP("Mins",A1:CV300,74,FALSE)* 90)</f>
      </c>
      <c r="BG74" s="20965">
        <f>IF(HLOOKUP("Mins",A1:CV300,74,FALSE)=0,0,HLOOKUP("As",A1:CV300,74,FALSE)/HLOOKUP("Mins",A1:CV300,74,FALSE)* 90)</f>
      </c>
      <c r="BH74" s="20966">
        <f>IF(HLOOKUP("Mins",A1:CV300,74,FALSE)=0,0,HLOOKUP("FPL As",A1:CV300,74,FALSE)/HLOOKUP("Mins",A1:CV300,74,FALSE)* 90)</f>
      </c>
      <c r="BI74" s="20967">
        <f>IF(HLOOKUP("Mins",A1:CV300,74,FALSE)=0,0,HLOOKUP("BC Created",A1:CV300,74,FALSE)/HLOOKUP("Mins",A1:CV300,74,FALSE)* 90)</f>
      </c>
      <c r="BJ74" s="20968">
        <f>IF(HLOOKUP("Mins",A1:CV300,74,FALSE)=0,0,HLOOKUP("KP",A1:CV300,74,FALSE)/HLOOKUP("Mins",A1:CV300,74,FALSE)* 90)</f>
      </c>
      <c r="BK74" s="20969">
        <f>IF(HLOOKUP("Mins",A1:CV300,74,FALSE)=0,0,HLOOKUP("BC",A1:CV300,74,FALSE)/HLOOKUP("Mins",A1:CV300,74,FALSE)* 90)</f>
      </c>
      <c r="BL74" s="20970">
        <f>IF(HLOOKUP("Mins",A1:CV300,74,FALSE)=0,0,HLOOKUP("BC Miss",A1:CV300,74,FALSE)/HLOOKUP("Mins",A1:CV300,74,FALSE)* 90)</f>
      </c>
      <c r="BM74" s="20971">
        <f>IF(HLOOKUP("Mins",A1:CV300,74,FALSE)=0,0,HLOOKUP("Gs - BC",A1:CV300,74,FALSE)/HLOOKUP("Mins",A1:CV300,74,FALSE)* 90)</f>
      </c>
      <c r="BN74" s="20972">
        <f>IF(HLOOKUP("Mins",A1:CV300,74,FALSE)=0,0,HLOOKUP("GIB",A1:CV300,74,FALSE)/HLOOKUP("Mins",A1:CV300,74,FALSE)* 90)</f>
      </c>
      <c r="BO74" s="20973">
        <f>IF(HLOOKUP("Mins",A1:CV300,74,FALSE)=0,0,HLOOKUP("Gs - Open",A1:CV300,74,FALSE)/HLOOKUP("Mins",A1:CV300,74,FALSE)* 90)</f>
      </c>
      <c r="BP74" s="20974">
        <f>IF(HLOOKUP("Mins",A1:CV300,74,FALSE)=0,0,HLOOKUP("ICT Index",A1:CV300,74,FALSE)/HLOOKUP("Mins",A1:CV300,74,FALSE)* 90)</f>
      </c>
      <c r="BQ74" s="20975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20976">
        <f>0.0885*HLOOKUP("KP/90",A1:CV300,74,FALSE)</f>
      </c>
      <c r="BS74" s="20977">
        <f>5*HLOOKUP("xG/90",A1:CV300,74,FALSE)+3*HLOOKUP("xA/90",A1:CV300,74,FALSE)</f>
      </c>
      <c r="BT74" s="20978">
        <f>HLOOKUP("xPts/90",A1:CV300,74,FALSE)-(5*0.75*(HLOOKUP("PK Gs",A1:CV300,74,FALSE)+HLOOKUP("PK Miss",A1:CV300,74,FALSE))*90/HLOOKUP("Mins",A1:CV300,74,FALSE))</f>
      </c>
      <c r="BU74" s="20979">
        <f>IF(HLOOKUP("Mins",A1:CV300,74,FALSE)=0,0,HLOOKUP("fsXG",A1:CV300,74,FALSE)/HLOOKUP("Mins",A1:CV300,74,FALSE)* 90)</f>
      </c>
      <c r="BV74" s="20980">
        <f>IF(HLOOKUP("Mins",A1:CV300,74,FALSE)=0,0,HLOOKUP("fsXA",A1:CV300,74,FALSE)/HLOOKUP("Mins",A1:CV300,74,FALSE)* 90)</f>
      </c>
      <c r="BW74" s="20981">
        <f>5*HLOOKUP("fsXG/90",A1:CV300,74,FALSE)+3*HLOOKUP("fsXA/90",A1:CV300,74,FALSE)</f>
      </c>
      <c r="BX74" t="n" s="20982">
        <v>0.2103578746318817</v>
      </c>
      <c r="BY74" t="n" s="20983">
        <v>0.051262881606817245</v>
      </c>
      <c r="BZ74" s="20984">
        <f>5*HLOOKUP("uXG/90",A1:CV300,74,FALSE)+3*HLOOKUP("uXA/90",A1:CV300,74,FALSE)</f>
      </c>
    </row>
    <row r="75">
      <c r="A75" t="s" s="20985">
        <v>366</v>
      </c>
      <c r="B75" t="s" s="20986">
        <v>80</v>
      </c>
      <c r="C75" t="n" s="20987">
        <v>4.5</v>
      </c>
      <c r="D75" t="n" s="20988">
        <v>341.0</v>
      </c>
      <c r="E75" t="n" s="20989">
        <v>5.0</v>
      </c>
      <c r="F75" t="n" s="20990">
        <v>20.0</v>
      </c>
      <c r="G75" t="n" s="20991">
        <v>0.0</v>
      </c>
      <c r="H75" t="n" s="20992">
        <v>0.0</v>
      </c>
      <c r="I75" t="n" s="20993">
        <v>82.0</v>
      </c>
      <c r="J75" s="20994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20995">
        <v>0.0</v>
      </c>
      <c r="L75" t="n" s="20996">
        <v>2.0</v>
      </c>
      <c r="M75" t="n" s="20997">
        <v>7.0</v>
      </c>
      <c r="N75" t="n" s="20998">
        <v>1.0</v>
      </c>
      <c r="O75" t="n" s="20999">
        <v>1.0</v>
      </c>
      <c r="P75" s="21000">
        <f>IF(HLOOKUP("Shots",A1:CV300,75,FALSE)=0,0,HLOOKUP("SIB",A1:CV300,75,FALSE)/HLOOKUP("Shots",A1:CV300,75,FALSE))</f>
      </c>
      <c r="Q75" t="n" s="21001">
        <v>0.0</v>
      </c>
      <c r="R75" s="21002">
        <f>IF(HLOOKUP("Shots",A1:CV300,75,FALSE)=0,0,HLOOKUP("S6YD",A1:CV300,75,FALSE)/HLOOKUP("Shots",A1:CV300,75,FALSE))</f>
      </c>
      <c r="S75" t="n" s="21003">
        <v>0.0</v>
      </c>
      <c r="T75" s="21004">
        <f>IF(HLOOKUP("Shots",A1:CV300,75,FALSE)=0,0,HLOOKUP("Headers",A1:CV300,75,FALSE)/HLOOKUP("Shots",A1:CV300,75,FALSE))</f>
      </c>
      <c r="U75" t="n" s="21005">
        <v>1.0</v>
      </c>
      <c r="V75" s="21006">
        <f>IF(HLOOKUP("Shots",A1:CV300,75,FALSE)=0,0,HLOOKUP("SOT",A1:CV300,75,FALSE)/HLOOKUP("Shots",A1:CV300,75,FALSE))</f>
      </c>
      <c r="W75" s="21007">
        <f>IF(HLOOKUP("Shots",A1:CV300,75,FALSE)=0,0,HLOOKUP("Gs",A1:CV300,75,FALSE)/HLOOKUP("Shots",A1:CV300,75,FALSE))</f>
      </c>
      <c r="X75" t="n" s="21008">
        <v>0.0</v>
      </c>
      <c r="Y75" t="n" s="21009">
        <v>1.0</v>
      </c>
      <c r="Z75" t="n" s="21010">
        <v>1.0</v>
      </c>
      <c r="AA75" s="21011">
        <f>IF(HLOOKUP("KP",A1:CV300,75,FALSE)=0,0,HLOOKUP("As",A1:CV300,75,FALSE)/HLOOKUP("KP",A1:CV300,75,FALSE))</f>
      </c>
      <c r="AB75" s="21012"/>
      <c r="AC75" t="n" s="21013">
        <v>0.0</v>
      </c>
      <c r="AD75" t="n" s="21014">
        <v>0.0</v>
      </c>
      <c r="AE75" t="n" s="21015">
        <v>0.0</v>
      </c>
      <c r="AF75" t="n" s="21016">
        <v>0.0</v>
      </c>
      <c r="AG75" s="21017">
        <f>IF(HLOOKUP("BC",A1:CV300,75,FALSE)=0,0,HLOOKUP("Gs - BC",A1:CV300,75,FALSE)/HLOOKUP("BC",A1:CV300,75,FALSE))</f>
      </c>
      <c r="AH75" s="21018">
        <f>HLOOKUP("BC",A1:CV300,75,FALSE) - HLOOKUP("BC Miss",A1:CV300,75,FALSE)</f>
      </c>
      <c r="AI75" s="21019">
        <f>IF(HLOOKUP("Gs",A1:CV300,75,FALSE)=0,0,HLOOKUP("Gs - BC",A1:CV300,75,FALSE)/HLOOKUP("Gs",A1:CV300,75,FALSE))</f>
      </c>
      <c r="AJ75" t="n" s="21020">
        <v>0.0</v>
      </c>
      <c r="AK75" t="n" s="21021">
        <v>0.0</v>
      </c>
      <c r="AL75" s="21022">
        <f>HLOOKUP("BC",A1:CV300,75,FALSE) - (HLOOKUP("PK Gs",A1:CV300,75,FALSE) + HLOOKUP("PK Miss",A1:CV300,75,FALSE))</f>
      </c>
      <c r="AM75" s="21023">
        <f>HLOOKUP("BC Miss",A1:CV300,75,FALSE) - HLOOKUP("PK Miss",A1:CV300,75,FALSE)</f>
      </c>
      <c r="AN75" s="21024">
        <f>IF(HLOOKUP("BC - Open",A1:CV300,75,FALSE)=0,0,HLOOKUP("BC - Open Miss",A1:CV300,75,FALSE)/HLOOKUP("BC - Open",A1:CV300,75,FALSE))</f>
      </c>
      <c r="AO75" t="n" s="21025">
        <v>0.0</v>
      </c>
      <c r="AP75" s="21026">
        <f>IF(HLOOKUP("Gs",A1:CV300,75,FALSE)=0,0,HLOOKUP("GIB",A1:CV300,75,FALSE)/HLOOKUP("Gs",A1:CV300,75,FALSE))</f>
      </c>
      <c r="AQ75" t="n" s="21027">
        <v>0.0</v>
      </c>
      <c r="AR75" s="21028">
        <f>IF(HLOOKUP("Gs",A1:CV300,75,FALSE)=0,0,HLOOKUP("Gs - Open",A1:CV300,75,FALSE)/HLOOKUP("Gs",A1:CV300,75,FALSE))</f>
      </c>
      <c r="AS75" t="n" s="21029">
        <v>0.07</v>
      </c>
      <c r="AT75" t="n" s="21030">
        <v>0.08</v>
      </c>
      <c r="AU75" s="21031">
        <f>IF(HLOOKUP("Mins",A1:CV300,75,FALSE)=0,0,HLOOKUP("Pts",A1:CV300,75,FALSE)/HLOOKUP("Mins",A1:CV300,75,FALSE)* 90)</f>
      </c>
      <c r="AV75" s="21032">
        <f>IF(HLOOKUP("Apps",A1:CV300,75,FALSE)=0,0,HLOOKUP("Pts",A1:CV300,75,FALSE)/HLOOKUP("Apps",A1:CV300,75,FALSE)* 1)</f>
      </c>
      <c r="AW75" s="21033">
        <f>IF(HLOOKUP("Mins",A1:CV300,75,FALSE)=0,0,HLOOKUP("Gs",A1:CV300,75,FALSE)/HLOOKUP("Mins",A1:CV300,75,FALSE)* 90)</f>
      </c>
      <c r="AX75" s="21034">
        <f>IF(HLOOKUP("Mins",A1:CV300,75,FALSE)=0,0,HLOOKUP("Bonus",A1:CV300,75,FALSE)/HLOOKUP("Mins",A1:CV300,75,FALSE)* 90)</f>
      </c>
      <c r="AY75" s="21035">
        <f>IF(HLOOKUP("Mins",A1:CV300,75,FALSE)=0,0,HLOOKUP("BPS",A1:CV300,75,FALSE)/HLOOKUP("Mins",A1:CV300,75,FALSE)* 90)</f>
      </c>
      <c r="AZ75" s="21036">
        <f>IF(HLOOKUP("Mins",A1:CV300,75,FALSE)=0,0,HLOOKUP("Base BPS",A1:CV300,75,FALSE)/HLOOKUP("Mins",A1:CV300,75,FALSE)* 90)</f>
      </c>
      <c r="BA75" s="21037">
        <f>IF(HLOOKUP("Mins",A1:CV300,75,FALSE)=0,0,HLOOKUP("PenTchs",A1:CV300,75,FALSE)/HLOOKUP("Mins",A1:CV300,75,FALSE)* 90)</f>
      </c>
      <c r="BB75" s="21038">
        <f>IF(HLOOKUP("Mins",A1:CV300,75,FALSE)=0,0,HLOOKUP("Shots",A1:CV300,75,FALSE)/HLOOKUP("Mins",A1:CV300,75,FALSE)* 90)</f>
      </c>
      <c r="BC75" s="21039">
        <f>IF(HLOOKUP("Mins",A1:CV300,75,FALSE)=0,0,HLOOKUP("SIB",A1:CV300,75,FALSE)/HLOOKUP("Mins",A1:CV300,75,FALSE)* 90)</f>
      </c>
      <c r="BD75" s="21040">
        <f>IF(HLOOKUP("Mins",A1:CV300,75,FALSE)=0,0,HLOOKUP("S6YD",A1:CV300,75,FALSE)/HLOOKUP("Mins",A1:CV300,75,FALSE)* 90)</f>
      </c>
      <c r="BE75" s="21041">
        <f>IF(HLOOKUP("Mins",A1:CV300,75,FALSE)=0,0,HLOOKUP("Headers",A1:CV300,75,FALSE)/HLOOKUP("Mins",A1:CV300,75,FALSE)* 90)</f>
      </c>
      <c r="BF75" s="21042">
        <f>IF(HLOOKUP("Mins",A1:CV300,75,FALSE)=0,0,HLOOKUP("SOT",A1:CV300,75,FALSE)/HLOOKUP("Mins",A1:CV300,75,FALSE)* 90)</f>
      </c>
      <c r="BG75" s="21043">
        <f>IF(HLOOKUP("Mins",A1:CV300,75,FALSE)=0,0,HLOOKUP("As",A1:CV300,75,FALSE)/HLOOKUP("Mins",A1:CV300,75,FALSE)* 90)</f>
      </c>
      <c r="BH75" s="21044">
        <f>IF(HLOOKUP("Mins",A1:CV300,75,FALSE)=0,0,HLOOKUP("FPL As",A1:CV300,75,FALSE)/HLOOKUP("Mins",A1:CV300,75,FALSE)* 90)</f>
      </c>
      <c r="BI75" s="21045">
        <f>IF(HLOOKUP("Mins",A1:CV300,75,FALSE)=0,0,HLOOKUP("BC Created",A1:CV300,75,FALSE)/HLOOKUP("Mins",A1:CV300,75,FALSE)* 90)</f>
      </c>
      <c r="BJ75" s="21046">
        <f>IF(HLOOKUP("Mins",A1:CV300,75,FALSE)=0,0,HLOOKUP("KP",A1:CV300,75,FALSE)/HLOOKUP("Mins",A1:CV300,75,FALSE)* 90)</f>
      </c>
      <c r="BK75" s="21047">
        <f>IF(HLOOKUP("Mins",A1:CV300,75,FALSE)=0,0,HLOOKUP("BC",A1:CV300,75,FALSE)/HLOOKUP("Mins",A1:CV300,75,FALSE)* 90)</f>
      </c>
      <c r="BL75" s="21048">
        <f>IF(HLOOKUP("Mins",A1:CV300,75,FALSE)=0,0,HLOOKUP("BC Miss",A1:CV300,75,FALSE)/HLOOKUP("Mins",A1:CV300,75,FALSE)* 90)</f>
      </c>
      <c r="BM75" s="21049">
        <f>IF(HLOOKUP("Mins",A1:CV300,75,FALSE)=0,0,HLOOKUP("Gs - BC",A1:CV300,75,FALSE)/HLOOKUP("Mins",A1:CV300,75,FALSE)* 90)</f>
      </c>
      <c r="BN75" s="21050">
        <f>IF(HLOOKUP("Mins",A1:CV300,75,FALSE)=0,0,HLOOKUP("GIB",A1:CV300,75,FALSE)/HLOOKUP("Mins",A1:CV300,75,FALSE)* 90)</f>
      </c>
      <c r="BO75" s="21051">
        <f>IF(HLOOKUP("Mins",A1:CV300,75,FALSE)=0,0,HLOOKUP("Gs - Open",A1:CV300,75,FALSE)/HLOOKUP("Mins",A1:CV300,75,FALSE)* 90)</f>
      </c>
      <c r="BP75" s="21052">
        <f>IF(HLOOKUP("Mins",A1:CV300,75,FALSE)=0,0,HLOOKUP("ICT Index",A1:CV300,75,FALSE)/HLOOKUP("Mins",A1:CV300,75,FALSE)* 90)</f>
      </c>
      <c r="BQ75" s="21053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1054">
        <f>0.0885*HLOOKUP("KP/90",A1:CV300,75,FALSE)</f>
      </c>
      <c r="BS75" s="21055">
        <f>5*HLOOKUP("xG/90",A1:CV300,75,FALSE)+3*HLOOKUP("xA/90",A1:CV300,75,FALSE)</f>
      </c>
      <c r="BT75" s="21056">
        <f>HLOOKUP("xPts/90",A1:CV300,75,FALSE)-(5*0.75*(HLOOKUP("PK Gs",A1:CV300,75,FALSE)+HLOOKUP("PK Miss",A1:CV300,75,FALSE))*90/HLOOKUP("Mins",A1:CV300,75,FALSE))</f>
      </c>
      <c r="BU75" s="21057">
        <f>IF(HLOOKUP("Mins",A1:CV300,75,FALSE)=0,0,HLOOKUP("fsXG",A1:CV300,75,FALSE)/HLOOKUP("Mins",A1:CV300,75,FALSE)* 90)</f>
      </c>
      <c r="BV75" s="21058">
        <f>IF(HLOOKUP("Mins",A1:CV300,75,FALSE)=0,0,HLOOKUP("fsXA",A1:CV300,75,FALSE)/HLOOKUP("Mins",A1:CV300,75,FALSE)* 90)</f>
      </c>
      <c r="BW75" s="21059">
        <f>5*HLOOKUP("fsXG/90",A1:CV300,75,FALSE)+3*HLOOKUP("fsXA/90",A1:CV300,75,FALSE)</f>
      </c>
      <c r="BX75" t="n" s="21060">
        <v>0.02886025793850422</v>
      </c>
      <c r="BY75" t="n" s="21061">
        <v>0.021963754668831825</v>
      </c>
      <c r="BZ75" s="21062">
        <f>5*HLOOKUP("uXG/90",A1:CV300,75,FALSE)+3*HLOOKUP("uXA/90",A1:CV300,75,FALSE)</f>
      </c>
    </row>
    <row r="76">
      <c r="A76" t="s" s="21063">
        <v>367</v>
      </c>
      <c r="B76" t="s" s="21064">
        <v>90</v>
      </c>
      <c r="C76" t="n" s="21065">
        <v>5.300000190734863</v>
      </c>
      <c r="D76" t="n" s="21066">
        <v>149.0</v>
      </c>
      <c r="E76" t="n" s="21067">
        <v>6.0</v>
      </c>
      <c r="F76" t="n" s="21068">
        <v>31.0</v>
      </c>
      <c r="G76" t="n" s="21069">
        <v>0.0</v>
      </c>
      <c r="H76" t="n" s="21070">
        <v>0.0</v>
      </c>
      <c r="I76" t="n" s="21071">
        <v>101.0</v>
      </c>
      <c r="J76" s="21072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1073">
        <v>0.0</v>
      </c>
      <c r="L76" t="n" s="21074">
        <v>1.0</v>
      </c>
      <c r="M76" t="n" s="21075">
        <v>9.0</v>
      </c>
      <c r="N76" t="n" s="21076">
        <v>3.0</v>
      </c>
      <c r="O76" t="n" s="21077">
        <v>1.0</v>
      </c>
      <c r="P76" s="21078">
        <f>IF(HLOOKUP("Shots",A1:CV300,76,FALSE)=0,0,HLOOKUP("SIB",A1:CV300,76,FALSE)/HLOOKUP("Shots",A1:CV300,76,FALSE))</f>
      </c>
      <c r="Q76" t="n" s="21079">
        <v>0.0</v>
      </c>
      <c r="R76" s="21080">
        <f>IF(HLOOKUP("Shots",A1:CV300,76,FALSE)=0,0,HLOOKUP("S6YD",A1:CV300,76,FALSE)/HLOOKUP("Shots",A1:CV300,76,FALSE))</f>
      </c>
      <c r="S76" t="n" s="21081">
        <v>0.0</v>
      </c>
      <c r="T76" s="21082">
        <f>IF(HLOOKUP("Shots",A1:CV300,76,FALSE)=0,0,HLOOKUP("Headers",A1:CV300,76,FALSE)/HLOOKUP("Shots",A1:CV300,76,FALSE))</f>
      </c>
      <c r="U76" t="n" s="21083">
        <v>1.0</v>
      </c>
      <c r="V76" s="21084">
        <f>IF(HLOOKUP("Shots",A1:CV300,76,FALSE)=0,0,HLOOKUP("SOT",A1:CV300,76,FALSE)/HLOOKUP("Shots",A1:CV300,76,FALSE))</f>
      </c>
      <c r="W76" s="21085">
        <f>IF(HLOOKUP("Shots",A1:CV300,76,FALSE)=0,0,HLOOKUP("Gs",A1:CV300,76,FALSE)/HLOOKUP("Shots",A1:CV300,76,FALSE))</f>
      </c>
      <c r="X76" t="n" s="21086">
        <v>0.0</v>
      </c>
      <c r="Y76" t="n" s="21087">
        <v>1.0</v>
      </c>
      <c r="Z76" t="n" s="21088">
        <v>1.0</v>
      </c>
      <c r="AA76" s="21089">
        <f>IF(HLOOKUP("KP",A1:CV300,76,FALSE)=0,0,HLOOKUP("As",A1:CV300,76,FALSE)/HLOOKUP("KP",A1:CV300,76,FALSE))</f>
      </c>
      <c r="AB76" s="21090"/>
      <c r="AC76" t="n" s="21091">
        <v>0.0</v>
      </c>
      <c r="AD76" t="n" s="21092">
        <v>0.0</v>
      </c>
      <c r="AE76" t="n" s="21093">
        <v>0.0</v>
      </c>
      <c r="AF76" t="n" s="21094">
        <v>0.0</v>
      </c>
      <c r="AG76" s="21095">
        <f>IF(HLOOKUP("BC",A1:CV300,76,FALSE)=0,0,HLOOKUP("Gs - BC",A1:CV300,76,FALSE)/HLOOKUP("BC",A1:CV300,76,FALSE))</f>
      </c>
      <c r="AH76" s="21096">
        <f>HLOOKUP("BC",A1:CV300,76,FALSE) - HLOOKUP("BC Miss",A1:CV300,76,FALSE)</f>
      </c>
      <c r="AI76" s="21097">
        <f>IF(HLOOKUP("Gs",A1:CV300,76,FALSE)=0,0,HLOOKUP("Gs - BC",A1:CV300,76,FALSE)/HLOOKUP("Gs",A1:CV300,76,FALSE))</f>
      </c>
      <c r="AJ76" t="n" s="21098">
        <v>0.0</v>
      </c>
      <c r="AK76" t="n" s="21099">
        <v>0.0</v>
      </c>
      <c r="AL76" s="21100">
        <f>HLOOKUP("BC",A1:CV300,76,FALSE) - (HLOOKUP("PK Gs",A1:CV300,76,FALSE) + HLOOKUP("PK Miss",A1:CV300,76,FALSE))</f>
      </c>
      <c r="AM76" s="21101">
        <f>HLOOKUP("BC Miss",A1:CV300,76,FALSE) - HLOOKUP("PK Miss",A1:CV300,76,FALSE)</f>
      </c>
      <c r="AN76" s="21102">
        <f>IF(HLOOKUP("BC - Open",A1:CV300,76,FALSE)=0,0,HLOOKUP("BC - Open Miss",A1:CV300,76,FALSE)/HLOOKUP("BC - Open",A1:CV300,76,FALSE))</f>
      </c>
      <c r="AO76" t="n" s="21103">
        <v>0.0</v>
      </c>
      <c r="AP76" s="21104">
        <f>IF(HLOOKUP("Gs",A1:CV300,76,FALSE)=0,0,HLOOKUP("GIB",A1:CV300,76,FALSE)/HLOOKUP("Gs",A1:CV300,76,FALSE))</f>
      </c>
      <c r="AQ76" t="n" s="21105">
        <v>0.0</v>
      </c>
      <c r="AR76" s="21106">
        <f>IF(HLOOKUP("Gs",A1:CV300,76,FALSE)=0,0,HLOOKUP("Gs - Open",A1:CV300,76,FALSE)/HLOOKUP("Gs",A1:CV300,76,FALSE))</f>
      </c>
      <c r="AS76" t="n" s="21107">
        <v>0.19</v>
      </c>
      <c r="AT76" t="n" s="21108">
        <v>0.1</v>
      </c>
      <c r="AU76" s="21109">
        <f>IF(HLOOKUP("Mins",A1:CV300,76,FALSE)=0,0,HLOOKUP("Pts",A1:CV300,76,FALSE)/HLOOKUP("Mins",A1:CV300,76,FALSE)* 90)</f>
      </c>
      <c r="AV76" s="21110">
        <f>IF(HLOOKUP("Apps",A1:CV300,76,FALSE)=0,0,HLOOKUP("Pts",A1:CV300,76,FALSE)/HLOOKUP("Apps",A1:CV300,76,FALSE)* 1)</f>
      </c>
      <c r="AW76" s="21111">
        <f>IF(HLOOKUP("Mins",A1:CV300,76,FALSE)=0,0,HLOOKUP("Gs",A1:CV300,76,FALSE)/HLOOKUP("Mins",A1:CV300,76,FALSE)* 90)</f>
      </c>
      <c r="AX76" s="21112">
        <f>IF(HLOOKUP("Mins",A1:CV300,76,FALSE)=0,0,HLOOKUP("Bonus",A1:CV300,76,FALSE)/HLOOKUP("Mins",A1:CV300,76,FALSE)* 90)</f>
      </c>
      <c r="AY76" s="21113">
        <f>IF(HLOOKUP("Mins",A1:CV300,76,FALSE)=0,0,HLOOKUP("BPS",A1:CV300,76,FALSE)/HLOOKUP("Mins",A1:CV300,76,FALSE)* 90)</f>
      </c>
      <c r="AZ76" s="21114">
        <f>IF(HLOOKUP("Mins",A1:CV300,76,FALSE)=0,0,HLOOKUP("Base BPS",A1:CV300,76,FALSE)/HLOOKUP("Mins",A1:CV300,76,FALSE)* 90)</f>
      </c>
      <c r="BA76" s="21115">
        <f>IF(HLOOKUP("Mins",A1:CV300,76,FALSE)=0,0,HLOOKUP("PenTchs",A1:CV300,76,FALSE)/HLOOKUP("Mins",A1:CV300,76,FALSE)* 90)</f>
      </c>
      <c r="BB76" s="21116">
        <f>IF(HLOOKUP("Mins",A1:CV300,76,FALSE)=0,0,HLOOKUP("Shots",A1:CV300,76,FALSE)/HLOOKUP("Mins",A1:CV300,76,FALSE)* 90)</f>
      </c>
      <c r="BC76" s="21117">
        <f>IF(HLOOKUP("Mins",A1:CV300,76,FALSE)=0,0,HLOOKUP("SIB",A1:CV300,76,FALSE)/HLOOKUP("Mins",A1:CV300,76,FALSE)* 90)</f>
      </c>
      <c r="BD76" s="21118">
        <f>IF(HLOOKUP("Mins",A1:CV300,76,FALSE)=0,0,HLOOKUP("S6YD",A1:CV300,76,FALSE)/HLOOKUP("Mins",A1:CV300,76,FALSE)* 90)</f>
      </c>
      <c r="BE76" s="21119">
        <f>IF(HLOOKUP("Mins",A1:CV300,76,FALSE)=0,0,HLOOKUP("Headers",A1:CV300,76,FALSE)/HLOOKUP("Mins",A1:CV300,76,FALSE)* 90)</f>
      </c>
      <c r="BF76" s="21120">
        <f>IF(HLOOKUP("Mins",A1:CV300,76,FALSE)=0,0,HLOOKUP("SOT",A1:CV300,76,FALSE)/HLOOKUP("Mins",A1:CV300,76,FALSE)* 90)</f>
      </c>
      <c r="BG76" s="21121">
        <f>IF(HLOOKUP("Mins",A1:CV300,76,FALSE)=0,0,HLOOKUP("As",A1:CV300,76,FALSE)/HLOOKUP("Mins",A1:CV300,76,FALSE)* 90)</f>
      </c>
      <c r="BH76" s="21122">
        <f>IF(HLOOKUP("Mins",A1:CV300,76,FALSE)=0,0,HLOOKUP("FPL As",A1:CV300,76,FALSE)/HLOOKUP("Mins",A1:CV300,76,FALSE)* 90)</f>
      </c>
      <c r="BI76" s="21123">
        <f>IF(HLOOKUP("Mins",A1:CV300,76,FALSE)=0,0,HLOOKUP("BC Created",A1:CV300,76,FALSE)/HLOOKUP("Mins",A1:CV300,76,FALSE)* 90)</f>
      </c>
      <c r="BJ76" s="21124">
        <f>IF(HLOOKUP("Mins",A1:CV300,76,FALSE)=0,0,HLOOKUP("KP",A1:CV300,76,FALSE)/HLOOKUP("Mins",A1:CV300,76,FALSE)* 90)</f>
      </c>
      <c r="BK76" s="21125">
        <f>IF(HLOOKUP("Mins",A1:CV300,76,FALSE)=0,0,HLOOKUP("BC",A1:CV300,76,FALSE)/HLOOKUP("Mins",A1:CV300,76,FALSE)* 90)</f>
      </c>
      <c r="BL76" s="21126">
        <f>IF(HLOOKUP("Mins",A1:CV300,76,FALSE)=0,0,HLOOKUP("BC Miss",A1:CV300,76,FALSE)/HLOOKUP("Mins",A1:CV300,76,FALSE)* 90)</f>
      </c>
      <c r="BM76" s="21127">
        <f>IF(HLOOKUP("Mins",A1:CV300,76,FALSE)=0,0,HLOOKUP("Gs - BC",A1:CV300,76,FALSE)/HLOOKUP("Mins",A1:CV300,76,FALSE)* 90)</f>
      </c>
      <c r="BN76" s="21128">
        <f>IF(HLOOKUP("Mins",A1:CV300,76,FALSE)=0,0,HLOOKUP("GIB",A1:CV300,76,FALSE)/HLOOKUP("Mins",A1:CV300,76,FALSE)* 90)</f>
      </c>
      <c r="BO76" s="21129">
        <f>IF(HLOOKUP("Mins",A1:CV300,76,FALSE)=0,0,HLOOKUP("Gs - Open",A1:CV300,76,FALSE)/HLOOKUP("Mins",A1:CV300,76,FALSE)* 90)</f>
      </c>
      <c r="BP76" s="21130">
        <f>IF(HLOOKUP("Mins",A1:CV300,76,FALSE)=0,0,HLOOKUP("ICT Index",A1:CV300,76,FALSE)/HLOOKUP("Mins",A1:CV300,76,FALSE)* 90)</f>
      </c>
      <c r="BQ76" s="21131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1132">
        <f>0.0885*HLOOKUP("KP/90",A1:CV300,76,FALSE)</f>
      </c>
      <c r="BS76" s="21133">
        <f>5*HLOOKUP("xG/90",A1:CV300,76,FALSE)+3*HLOOKUP("xA/90",A1:CV300,76,FALSE)</f>
      </c>
      <c r="BT76" s="21134">
        <f>HLOOKUP("xPts/90",A1:CV300,76,FALSE)-(5*0.75*(HLOOKUP("PK Gs",A1:CV300,76,FALSE)+HLOOKUP("PK Miss",A1:CV300,76,FALSE))*90/HLOOKUP("Mins",A1:CV300,76,FALSE))</f>
      </c>
      <c r="BU76" s="21135">
        <f>IF(HLOOKUP("Mins",A1:CV300,76,FALSE)=0,0,HLOOKUP("fsXG",A1:CV300,76,FALSE)/HLOOKUP("Mins",A1:CV300,76,FALSE)* 90)</f>
      </c>
      <c r="BV76" s="21136">
        <f>IF(HLOOKUP("Mins",A1:CV300,76,FALSE)=0,0,HLOOKUP("fsXA",A1:CV300,76,FALSE)/HLOOKUP("Mins",A1:CV300,76,FALSE)* 90)</f>
      </c>
      <c r="BW76" s="21137">
        <f>5*HLOOKUP("fsXG/90",A1:CV300,76,FALSE)+3*HLOOKUP("fsXA/90",A1:CV300,76,FALSE)</f>
      </c>
      <c r="BX76" t="n" s="21138">
        <v>0.10643371194601059</v>
      </c>
      <c r="BY76" t="n" s="21139">
        <v>0.03843347355723381</v>
      </c>
      <c r="BZ76" s="21140">
        <f>5*HLOOKUP("uXG/90",A1:CV300,76,FALSE)+3*HLOOKUP("uXA/90",A1:CV300,76,FALSE)</f>
      </c>
    </row>
    <row r="77">
      <c r="A77" t="s" s="21141">
        <v>368</v>
      </c>
      <c r="B77" t="s" s="21142">
        <v>98</v>
      </c>
      <c r="C77" t="n" s="21143">
        <v>5.800000190734863</v>
      </c>
      <c r="D77" t="n" s="21144">
        <v>540.0</v>
      </c>
      <c r="E77" t="n" s="21145">
        <v>6.0</v>
      </c>
      <c r="F77" t="n" s="21146">
        <v>73.0</v>
      </c>
      <c r="G77" t="n" s="21147">
        <v>0.0</v>
      </c>
      <c r="H77" t="n" s="21148">
        <v>6.0</v>
      </c>
      <c r="I77" t="n" s="21149">
        <v>339.0</v>
      </c>
      <c r="J77" s="21150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1151">
        <v>0.0</v>
      </c>
      <c r="L77" t="n" s="21152">
        <v>4.0</v>
      </c>
      <c r="M77" t="n" s="21153">
        <v>4.0</v>
      </c>
      <c r="N77" t="n" s="21154">
        <v>7.0</v>
      </c>
      <c r="O77" t="n" s="21155">
        <v>1.0</v>
      </c>
      <c r="P77" s="21156">
        <f>IF(HLOOKUP("Shots",A1:CV300,77,FALSE)=0,0,HLOOKUP("SIB",A1:CV300,77,FALSE)/HLOOKUP("Shots",A1:CV300,77,FALSE))</f>
      </c>
      <c r="Q77" t="n" s="21157">
        <v>0.0</v>
      </c>
      <c r="R77" s="21158">
        <f>IF(HLOOKUP("Shots",A1:CV300,77,FALSE)=0,0,HLOOKUP("S6YD",A1:CV300,77,FALSE)/HLOOKUP("Shots",A1:CV300,77,FALSE))</f>
      </c>
      <c r="S77" t="n" s="21159">
        <v>1.0</v>
      </c>
      <c r="T77" s="21160">
        <f>IF(HLOOKUP("Shots",A1:CV300,77,FALSE)=0,0,HLOOKUP("Headers",A1:CV300,77,FALSE)/HLOOKUP("Shots",A1:CV300,77,FALSE))</f>
      </c>
      <c r="U77" t="n" s="21161">
        <v>4.0</v>
      </c>
      <c r="V77" s="21162">
        <f>IF(HLOOKUP("Shots",A1:CV300,77,FALSE)=0,0,HLOOKUP("SOT",A1:CV300,77,FALSE)/HLOOKUP("Shots",A1:CV300,77,FALSE))</f>
      </c>
      <c r="W77" s="21163">
        <f>IF(HLOOKUP("Shots",A1:CV300,77,FALSE)=0,0,HLOOKUP("Gs",A1:CV300,77,FALSE)/HLOOKUP("Shots",A1:CV300,77,FALSE))</f>
      </c>
      <c r="X77" t="n" s="21164">
        <v>1.0</v>
      </c>
      <c r="Y77" t="n" s="21165">
        <v>2.0</v>
      </c>
      <c r="Z77" t="n" s="21166">
        <v>8.0</v>
      </c>
      <c r="AA77" s="21167">
        <f>IF(HLOOKUP("KP",A1:CV300,77,FALSE)=0,0,HLOOKUP("As",A1:CV300,77,FALSE)/HLOOKUP("KP",A1:CV300,77,FALSE))</f>
      </c>
      <c r="AB77" s="21168"/>
      <c r="AC77" t="n" s="21169">
        <v>11.0</v>
      </c>
      <c r="AD77" t="n" s="21170">
        <v>2.0</v>
      </c>
      <c r="AE77" t="n" s="21171">
        <v>0.0</v>
      </c>
      <c r="AF77" t="n" s="21172">
        <v>0.0</v>
      </c>
      <c r="AG77" s="21173">
        <f>IF(HLOOKUP("BC",A1:CV300,77,FALSE)=0,0,HLOOKUP("Gs - BC",A1:CV300,77,FALSE)/HLOOKUP("BC",A1:CV300,77,FALSE))</f>
      </c>
      <c r="AH77" s="21174">
        <f>HLOOKUP("BC",A1:CV300,77,FALSE) - HLOOKUP("BC Miss",A1:CV300,77,FALSE)</f>
      </c>
      <c r="AI77" s="21175">
        <f>IF(HLOOKUP("Gs",A1:CV300,77,FALSE)=0,0,HLOOKUP("Gs - BC",A1:CV300,77,FALSE)/HLOOKUP("Gs",A1:CV300,77,FALSE))</f>
      </c>
      <c r="AJ77" t="n" s="21176">
        <v>0.0</v>
      </c>
      <c r="AK77" t="n" s="21177">
        <v>0.0</v>
      </c>
      <c r="AL77" s="21178">
        <f>HLOOKUP("BC",A1:CV300,77,FALSE) - (HLOOKUP("PK Gs",A1:CV300,77,FALSE) + HLOOKUP("PK Miss",A1:CV300,77,FALSE))</f>
      </c>
      <c r="AM77" s="21179">
        <f>HLOOKUP("BC Miss",A1:CV300,77,FALSE) - HLOOKUP("PK Miss",A1:CV300,77,FALSE)</f>
      </c>
      <c r="AN77" s="21180">
        <f>IF(HLOOKUP("BC - Open",A1:CV300,77,FALSE)=0,0,HLOOKUP("BC - Open Miss",A1:CV300,77,FALSE)/HLOOKUP("BC - Open",A1:CV300,77,FALSE))</f>
      </c>
      <c r="AO77" t="n" s="21181">
        <v>0.0</v>
      </c>
      <c r="AP77" s="21182">
        <f>IF(HLOOKUP("Gs",A1:CV300,77,FALSE)=0,0,HLOOKUP("GIB",A1:CV300,77,FALSE)/HLOOKUP("Gs",A1:CV300,77,FALSE))</f>
      </c>
      <c r="AQ77" t="n" s="21183">
        <v>0.0</v>
      </c>
      <c r="AR77" s="21184">
        <f>IF(HLOOKUP("Gs",A1:CV300,77,FALSE)=0,0,HLOOKUP("Gs - Open",A1:CV300,77,FALSE)/HLOOKUP("Gs",A1:CV300,77,FALSE))</f>
      </c>
      <c r="AS77" t="n" s="21185">
        <v>0.47</v>
      </c>
      <c r="AT77" t="n" s="21186">
        <v>0.9</v>
      </c>
      <c r="AU77" s="21187">
        <f>IF(HLOOKUP("Mins",A1:CV300,77,FALSE)=0,0,HLOOKUP("Pts",A1:CV300,77,FALSE)/HLOOKUP("Mins",A1:CV300,77,FALSE)* 90)</f>
      </c>
      <c r="AV77" s="21188">
        <f>IF(HLOOKUP("Apps",A1:CV300,77,FALSE)=0,0,HLOOKUP("Pts",A1:CV300,77,FALSE)/HLOOKUP("Apps",A1:CV300,77,FALSE)* 1)</f>
      </c>
      <c r="AW77" s="21189">
        <f>IF(HLOOKUP("Mins",A1:CV300,77,FALSE)=0,0,HLOOKUP("Gs",A1:CV300,77,FALSE)/HLOOKUP("Mins",A1:CV300,77,FALSE)* 90)</f>
      </c>
      <c r="AX77" s="21190">
        <f>IF(HLOOKUP("Mins",A1:CV300,77,FALSE)=0,0,HLOOKUP("Bonus",A1:CV300,77,FALSE)/HLOOKUP("Mins",A1:CV300,77,FALSE)* 90)</f>
      </c>
      <c r="AY77" s="21191">
        <f>IF(HLOOKUP("Mins",A1:CV300,77,FALSE)=0,0,HLOOKUP("BPS",A1:CV300,77,FALSE)/HLOOKUP("Mins",A1:CV300,77,FALSE)* 90)</f>
      </c>
      <c r="AZ77" s="21192">
        <f>IF(HLOOKUP("Mins",A1:CV300,77,FALSE)=0,0,HLOOKUP("Base BPS",A1:CV300,77,FALSE)/HLOOKUP("Mins",A1:CV300,77,FALSE)* 90)</f>
      </c>
      <c r="BA77" s="21193">
        <f>IF(HLOOKUP("Mins",A1:CV300,77,FALSE)=0,0,HLOOKUP("PenTchs",A1:CV300,77,FALSE)/HLOOKUP("Mins",A1:CV300,77,FALSE)* 90)</f>
      </c>
      <c r="BB77" s="21194">
        <f>IF(HLOOKUP("Mins",A1:CV300,77,FALSE)=0,0,HLOOKUP("Shots",A1:CV300,77,FALSE)/HLOOKUP("Mins",A1:CV300,77,FALSE)* 90)</f>
      </c>
      <c r="BC77" s="21195">
        <f>IF(HLOOKUP("Mins",A1:CV300,77,FALSE)=0,0,HLOOKUP("SIB",A1:CV300,77,FALSE)/HLOOKUP("Mins",A1:CV300,77,FALSE)* 90)</f>
      </c>
      <c r="BD77" s="21196">
        <f>IF(HLOOKUP("Mins",A1:CV300,77,FALSE)=0,0,HLOOKUP("S6YD",A1:CV300,77,FALSE)/HLOOKUP("Mins",A1:CV300,77,FALSE)* 90)</f>
      </c>
      <c r="BE77" s="21197">
        <f>IF(HLOOKUP("Mins",A1:CV300,77,FALSE)=0,0,HLOOKUP("Headers",A1:CV300,77,FALSE)/HLOOKUP("Mins",A1:CV300,77,FALSE)* 90)</f>
      </c>
      <c r="BF77" s="21198">
        <f>IF(HLOOKUP("Mins",A1:CV300,77,FALSE)=0,0,HLOOKUP("SOT",A1:CV300,77,FALSE)/HLOOKUP("Mins",A1:CV300,77,FALSE)* 90)</f>
      </c>
      <c r="BG77" s="21199">
        <f>IF(HLOOKUP("Mins",A1:CV300,77,FALSE)=0,0,HLOOKUP("As",A1:CV300,77,FALSE)/HLOOKUP("Mins",A1:CV300,77,FALSE)* 90)</f>
      </c>
      <c r="BH77" s="21200">
        <f>IF(HLOOKUP("Mins",A1:CV300,77,FALSE)=0,0,HLOOKUP("FPL As",A1:CV300,77,FALSE)/HLOOKUP("Mins",A1:CV300,77,FALSE)* 90)</f>
      </c>
      <c r="BI77" s="21201">
        <f>IF(HLOOKUP("Mins",A1:CV300,77,FALSE)=0,0,HLOOKUP("BC Created",A1:CV300,77,FALSE)/HLOOKUP("Mins",A1:CV300,77,FALSE)* 90)</f>
      </c>
      <c r="BJ77" s="21202">
        <f>IF(HLOOKUP("Mins",A1:CV300,77,FALSE)=0,0,HLOOKUP("KP",A1:CV300,77,FALSE)/HLOOKUP("Mins",A1:CV300,77,FALSE)* 90)</f>
      </c>
      <c r="BK77" s="21203">
        <f>IF(HLOOKUP("Mins",A1:CV300,77,FALSE)=0,0,HLOOKUP("BC",A1:CV300,77,FALSE)/HLOOKUP("Mins",A1:CV300,77,FALSE)* 90)</f>
      </c>
      <c r="BL77" s="21204">
        <f>IF(HLOOKUP("Mins",A1:CV300,77,FALSE)=0,0,HLOOKUP("BC Miss",A1:CV300,77,FALSE)/HLOOKUP("Mins",A1:CV300,77,FALSE)* 90)</f>
      </c>
      <c r="BM77" s="21205">
        <f>IF(HLOOKUP("Mins",A1:CV300,77,FALSE)=0,0,HLOOKUP("Gs - BC",A1:CV300,77,FALSE)/HLOOKUP("Mins",A1:CV300,77,FALSE)* 90)</f>
      </c>
      <c r="BN77" s="21206">
        <f>IF(HLOOKUP("Mins",A1:CV300,77,FALSE)=0,0,HLOOKUP("GIB",A1:CV300,77,FALSE)/HLOOKUP("Mins",A1:CV300,77,FALSE)* 90)</f>
      </c>
      <c r="BO77" s="21207">
        <f>IF(HLOOKUP("Mins",A1:CV300,77,FALSE)=0,0,HLOOKUP("Gs - Open",A1:CV300,77,FALSE)/HLOOKUP("Mins",A1:CV300,77,FALSE)* 90)</f>
      </c>
      <c r="BP77" s="21208">
        <f>IF(HLOOKUP("Mins",A1:CV300,77,FALSE)=0,0,HLOOKUP("ICT Index",A1:CV300,77,FALSE)/HLOOKUP("Mins",A1:CV300,77,FALSE)* 90)</f>
      </c>
      <c r="BQ77" s="21209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1210">
        <f>0.0885*HLOOKUP("KP/90",A1:CV300,77,FALSE)</f>
      </c>
      <c r="BS77" s="21211">
        <f>5*HLOOKUP("xG/90",A1:CV300,77,FALSE)+3*HLOOKUP("xA/90",A1:CV300,77,FALSE)</f>
      </c>
      <c r="BT77" s="21212">
        <f>HLOOKUP("xPts/90",A1:CV300,77,FALSE)-(5*0.75*(HLOOKUP("PK Gs",A1:CV300,77,FALSE)+HLOOKUP("PK Miss",A1:CV300,77,FALSE))*90/HLOOKUP("Mins",A1:CV300,77,FALSE))</f>
      </c>
      <c r="BU77" s="21213">
        <f>IF(HLOOKUP("Mins",A1:CV300,77,FALSE)=0,0,HLOOKUP("fsXG",A1:CV300,77,FALSE)/HLOOKUP("Mins",A1:CV300,77,FALSE)* 90)</f>
      </c>
      <c r="BV77" s="21214">
        <f>IF(HLOOKUP("Mins",A1:CV300,77,FALSE)=0,0,HLOOKUP("fsXA",A1:CV300,77,FALSE)/HLOOKUP("Mins",A1:CV300,77,FALSE)* 90)</f>
      </c>
      <c r="BW77" s="21215">
        <f>5*HLOOKUP("fsXG/90",A1:CV300,77,FALSE)+3*HLOOKUP("fsXA/90",A1:CV300,77,FALSE)</f>
      </c>
      <c r="BX77" t="n" s="21216">
        <v>0.05976073443889618</v>
      </c>
      <c r="BY77" t="n" s="21217">
        <v>0.17431458830833435</v>
      </c>
      <c r="BZ77" s="21218">
        <f>5*HLOOKUP("uXG/90",A1:CV300,77,FALSE)+3*HLOOKUP("uXA/90",A1:CV300,77,FALSE)</f>
      </c>
    </row>
    <row r="78">
      <c r="A78" t="s" s="21219">
        <v>369</v>
      </c>
      <c r="B78" t="s" s="21220">
        <v>147</v>
      </c>
      <c r="C78" t="n" s="21221">
        <v>4.900000095367432</v>
      </c>
      <c r="D78" t="n" s="21222">
        <v>426.0</v>
      </c>
      <c r="E78" t="n" s="21223">
        <v>6.0</v>
      </c>
      <c r="F78" t="n" s="21224">
        <v>63.0</v>
      </c>
      <c r="G78" t="n" s="21225">
        <v>2.0</v>
      </c>
      <c r="H78" t="n" s="21226">
        <v>6.0</v>
      </c>
      <c r="I78" t="n" s="21227">
        <v>360.0</v>
      </c>
      <c r="J78" s="21228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1229">
        <v>0.0</v>
      </c>
      <c r="L78" t="n" s="21230">
        <v>4.0</v>
      </c>
      <c r="M78" t="n" s="21231">
        <v>2.0</v>
      </c>
      <c r="N78" t="n" s="21232">
        <v>3.0</v>
      </c>
      <c r="O78" t="n" s="21233">
        <v>2.0</v>
      </c>
      <c r="P78" s="21234">
        <f>IF(HLOOKUP("Shots",A1:CV300,78,FALSE)=0,0,HLOOKUP("SIB",A1:CV300,78,FALSE)/HLOOKUP("Shots",A1:CV300,78,FALSE))</f>
      </c>
      <c r="Q78" t="n" s="21235">
        <v>1.0</v>
      </c>
      <c r="R78" s="21236">
        <f>IF(HLOOKUP("Shots",A1:CV300,78,FALSE)=0,0,HLOOKUP("S6YD",A1:CV300,78,FALSE)/HLOOKUP("Shots",A1:CV300,78,FALSE))</f>
      </c>
      <c r="S78" t="n" s="21237">
        <v>0.0</v>
      </c>
      <c r="T78" s="21238">
        <f>IF(HLOOKUP("Shots",A1:CV300,78,FALSE)=0,0,HLOOKUP("Headers",A1:CV300,78,FALSE)/HLOOKUP("Shots",A1:CV300,78,FALSE))</f>
      </c>
      <c r="U78" t="n" s="21239">
        <v>2.0</v>
      </c>
      <c r="V78" s="21240">
        <f>IF(HLOOKUP("Shots",A1:CV300,78,FALSE)=0,0,HLOOKUP("SOT",A1:CV300,78,FALSE)/HLOOKUP("Shots",A1:CV300,78,FALSE))</f>
      </c>
      <c r="W78" s="21241">
        <f>IF(HLOOKUP("Shots",A1:CV300,78,FALSE)=0,0,HLOOKUP("Gs",A1:CV300,78,FALSE)/HLOOKUP("Shots",A1:CV300,78,FALSE))</f>
      </c>
      <c r="X78" t="n" s="21242">
        <v>0.0</v>
      </c>
      <c r="Y78" t="n" s="21243">
        <v>3.0</v>
      </c>
      <c r="Z78" t="n" s="21244">
        <v>3.0</v>
      </c>
      <c r="AA78" s="21245">
        <f>IF(HLOOKUP("KP",A1:CV300,78,FALSE)=0,0,HLOOKUP("As",A1:CV300,78,FALSE)/HLOOKUP("KP",A1:CV300,78,FALSE))</f>
      </c>
      <c r="AB78" s="21246"/>
      <c r="AC78" t="n" s="21247">
        <v>33.0</v>
      </c>
      <c r="AD78" t="n" s="21248">
        <v>1.0</v>
      </c>
      <c r="AE78" t="n" s="21249">
        <v>2.0</v>
      </c>
      <c r="AF78" t="n" s="21250">
        <v>0.0</v>
      </c>
      <c r="AG78" s="21251">
        <f>IF(HLOOKUP("BC",A1:CV300,78,FALSE)=0,0,HLOOKUP("Gs - BC",A1:CV300,78,FALSE)/HLOOKUP("BC",A1:CV300,78,FALSE))</f>
      </c>
      <c r="AH78" s="21252">
        <f>HLOOKUP("BC",A1:CV300,78,FALSE) - HLOOKUP("BC Miss",A1:CV300,78,FALSE)</f>
      </c>
      <c r="AI78" s="21253">
        <f>IF(HLOOKUP("Gs",A1:CV300,78,FALSE)=0,0,HLOOKUP("Gs - BC",A1:CV300,78,FALSE)/HLOOKUP("Gs",A1:CV300,78,FALSE))</f>
      </c>
      <c r="AJ78" t="n" s="21254">
        <v>1.0</v>
      </c>
      <c r="AK78" t="n" s="21255">
        <v>0.0</v>
      </c>
      <c r="AL78" s="21256">
        <f>HLOOKUP("BC",A1:CV300,78,FALSE) - (HLOOKUP("PK Gs",A1:CV300,78,FALSE) + HLOOKUP("PK Miss",A1:CV300,78,FALSE))</f>
      </c>
      <c r="AM78" s="21257">
        <f>HLOOKUP("BC Miss",A1:CV300,78,FALSE) - HLOOKUP("PK Miss",A1:CV300,78,FALSE)</f>
      </c>
      <c r="AN78" s="21258">
        <f>IF(HLOOKUP("BC - Open",A1:CV300,78,FALSE)=0,0,HLOOKUP("BC - Open Miss",A1:CV300,78,FALSE)/HLOOKUP("BC - Open",A1:CV300,78,FALSE))</f>
      </c>
      <c r="AO78" t="n" s="21259">
        <v>2.0</v>
      </c>
      <c r="AP78" s="21260">
        <f>IF(HLOOKUP("Gs",A1:CV300,78,FALSE)=0,0,HLOOKUP("GIB",A1:CV300,78,FALSE)/HLOOKUP("Gs",A1:CV300,78,FALSE))</f>
      </c>
      <c r="AQ78" t="n" s="21261">
        <v>0.0</v>
      </c>
      <c r="AR78" s="21262">
        <f>IF(HLOOKUP("Gs",A1:CV300,78,FALSE)=0,0,HLOOKUP("Gs - Open",A1:CV300,78,FALSE)/HLOOKUP("Gs",A1:CV300,78,FALSE))</f>
      </c>
      <c r="AS78" t="n" s="21263">
        <v>1.38</v>
      </c>
      <c r="AT78" t="n" s="21264">
        <v>0.31</v>
      </c>
      <c r="AU78" s="21265">
        <f>IF(HLOOKUP("Mins",A1:CV300,78,FALSE)=0,0,HLOOKUP("Pts",A1:CV300,78,FALSE)/HLOOKUP("Mins",A1:CV300,78,FALSE)* 90)</f>
      </c>
      <c r="AV78" s="21266">
        <f>IF(HLOOKUP("Apps",A1:CV300,78,FALSE)=0,0,HLOOKUP("Pts",A1:CV300,78,FALSE)/HLOOKUP("Apps",A1:CV300,78,FALSE)* 1)</f>
      </c>
      <c r="AW78" s="21267">
        <f>IF(HLOOKUP("Mins",A1:CV300,78,FALSE)=0,0,HLOOKUP("Gs",A1:CV300,78,FALSE)/HLOOKUP("Mins",A1:CV300,78,FALSE)* 90)</f>
      </c>
      <c r="AX78" s="21268">
        <f>IF(HLOOKUP("Mins",A1:CV300,78,FALSE)=0,0,HLOOKUP("Bonus",A1:CV300,78,FALSE)/HLOOKUP("Mins",A1:CV300,78,FALSE)* 90)</f>
      </c>
      <c r="AY78" s="21269">
        <f>IF(HLOOKUP("Mins",A1:CV300,78,FALSE)=0,0,HLOOKUP("BPS",A1:CV300,78,FALSE)/HLOOKUP("Mins",A1:CV300,78,FALSE)* 90)</f>
      </c>
      <c r="AZ78" s="21270">
        <f>IF(HLOOKUP("Mins",A1:CV300,78,FALSE)=0,0,HLOOKUP("Base BPS",A1:CV300,78,FALSE)/HLOOKUP("Mins",A1:CV300,78,FALSE)* 90)</f>
      </c>
      <c r="BA78" s="21271">
        <f>IF(HLOOKUP("Mins",A1:CV300,78,FALSE)=0,0,HLOOKUP("PenTchs",A1:CV300,78,FALSE)/HLOOKUP("Mins",A1:CV300,78,FALSE)* 90)</f>
      </c>
      <c r="BB78" s="21272">
        <f>IF(HLOOKUP("Mins",A1:CV300,78,FALSE)=0,0,HLOOKUP("Shots",A1:CV300,78,FALSE)/HLOOKUP("Mins",A1:CV300,78,FALSE)* 90)</f>
      </c>
      <c r="BC78" s="21273">
        <f>IF(HLOOKUP("Mins",A1:CV300,78,FALSE)=0,0,HLOOKUP("SIB",A1:CV300,78,FALSE)/HLOOKUP("Mins",A1:CV300,78,FALSE)* 90)</f>
      </c>
      <c r="BD78" s="21274">
        <f>IF(HLOOKUP("Mins",A1:CV300,78,FALSE)=0,0,HLOOKUP("S6YD",A1:CV300,78,FALSE)/HLOOKUP("Mins",A1:CV300,78,FALSE)* 90)</f>
      </c>
      <c r="BE78" s="21275">
        <f>IF(HLOOKUP("Mins",A1:CV300,78,FALSE)=0,0,HLOOKUP("Headers",A1:CV300,78,FALSE)/HLOOKUP("Mins",A1:CV300,78,FALSE)* 90)</f>
      </c>
      <c r="BF78" s="21276">
        <f>IF(HLOOKUP("Mins",A1:CV300,78,FALSE)=0,0,HLOOKUP("SOT",A1:CV300,78,FALSE)/HLOOKUP("Mins",A1:CV300,78,FALSE)* 90)</f>
      </c>
      <c r="BG78" s="21277">
        <f>IF(HLOOKUP("Mins",A1:CV300,78,FALSE)=0,0,HLOOKUP("As",A1:CV300,78,FALSE)/HLOOKUP("Mins",A1:CV300,78,FALSE)* 90)</f>
      </c>
      <c r="BH78" s="21278">
        <f>IF(HLOOKUP("Mins",A1:CV300,78,FALSE)=0,0,HLOOKUP("FPL As",A1:CV300,78,FALSE)/HLOOKUP("Mins",A1:CV300,78,FALSE)* 90)</f>
      </c>
      <c r="BI78" s="21279">
        <f>IF(HLOOKUP("Mins",A1:CV300,78,FALSE)=0,0,HLOOKUP("BC Created",A1:CV300,78,FALSE)/HLOOKUP("Mins",A1:CV300,78,FALSE)* 90)</f>
      </c>
      <c r="BJ78" s="21280">
        <f>IF(HLOOKUP("Mins",A1:CV300,78,FALSE)=0,0,HLOOKUP("KP",A1:CV300,78,FALSE)/HLOOKUP("Mins",A1:CV300,78,FALSE)* 90)</f>
      </c>
      <c r="BK78" s="21281">
        <f>IF(HLOOKUP("Mins",A1:CV300,78,FALSE)=0,0,HLOOKUP("BC",A1:CV300,78,FALSE)/HLOOKUP("Mins",A1:CV300,78,FALSE)* 90)</f>
      </c>
      <c r="BL78" s="21282">
        <f>IF(HLOOKUP("Mins",A1:CV300,78,FALSE)=0,0,HLOOKUP("BC Miss",A1:CV300,78,FALSE)/HLOOKUP("Mins",A1:CV300,78,FALSE)* 90)</f>
      </c>
      <c r="BM78" s="21283">
        <f>IF(HLOOKUP("Mins",A1:CV300,78,FALSE)=0,0,HLOOKUP("Gs - BC",A1:CV300,78,FALSE)/HLOOKUP("Mins",A1:CV300,78,FALSE)* 90)</f>
      </c>
      <c r="BN78" s="21284">
        <f>IF(HLOOKUP("Mins",A1:CV300,78,FALSE)=0,0,HLOOKUP("GIB",A1:CV300,78,FALSE)/HLOOKUP("Mins",A1:CV300,78,FALSE)* 90)</f>
      </c>
      <c r="BO78" s="21285">
        <f>IF(HLOOKUP("Mins",A1:CV300,78,FALSE)=0,0,HLOOKUP("Gs - Open",A1:CV300,78,FALSE)/HLOOKUP("Mins",A1:CV300,78,FALSE)* 90)</f>
      </c>
      <c r="BP78" s="21286">
        <f>IF(HLOOKUP("Mins",A1:CV300,78,FALSE)=0,0,HLOOKUP("ICT Index",A1:CV300,78,FALSE)/HLOOKUP("Mins",A1:CV300,78,FALSE)* 90)</f>
      </c>
      <c r="BQ78" s="21287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1288">
        <f>0.0885*HLOOKUP("KP/90",A1:CV300,78,FALSE)</f>
      </c>
      <c r="BS78" s="21289">
        <f>5*HLOOKUP("xG/90",A1:CV300,78,FALSE)+3*HLOOKUP("xA/90",A1:CV300,78,FALSE)</f>
      </c>
      <c r="BT78" s="21290">
        <f>HLOOKUP("xPts/90",A1:CV300,78,FALSE)-(5*0.75*(HLOOKUP("PK Gs",A1:CV300,78,FALSE)+HLOOKUP("PK Miss",A1:CV300,78,FALSE))*90/HLOOKUP("Mins",A1:CV300,78,FALSE))</f>
      </c>
      <c r="BU78" s="21291">
        <f>IF(HLOOKUP("Mins",A1:CV300,78,FALSE)=0,0,HLOOKUP("fsXG",A1:CV300,78,FALSE)/HLOOKUP("Mins",A1:CV300,78,FALSE)* 90)</f>
      </c>
      <c r="BV78" s="21292">
        <f>IF(HLOOKUP("Mins",A1:CV300,78,FALSE)=0,0,HLOOKUP("fsXA",A1:CV300,78,FALSE)/HLOOKUP("Mins",A1:CV300,78,FALSE)* 90)</f>
      </c>
      <c r="BW78" s="21293">
        <f>5*HLOOKUP("fsXG/90",A1:CV300,78,FALSE)+3*HLOOKUP("fsXA/90",A1:CV300,78,FALSE)</f>
      </c>
      <c r="BX78" t="n" s="21294">
        <v>0.29227831959724426</v>
      </c>
      <c r="BY78" t="n" s="21295">
        <v>0.08148317039012909</v>
      </c>
      <c r="BZ78" s="21296">
        <f>5*HLOOKUP("uXG/90",A1:CV300,78,FALSE)+3*HLOOKUP("uXA/90",A1:CV300,78,FALSE)</f>
      </c>
    </row>
    <row r="79">
      <c r="A79" t="s" s="21297">
        <v>370</v>
      </c>
      <c r="B79" t="s" s="21298">
        <v>100</v>
      </c>
      <c r="C79" t="n" s="21299">
        <v>4.400000095367432</v>
      </c>
      <c r="D79" t="n" s="21300">
        <v>508.0</v>
      </c>
      <c r="E79" t="n" s="21301">
        <v>6.0</v>
      </c>
      <c r="F79" t="n" s="21302">
        <v>57.0</v>
      </c>
      <c r="G79" t="n" s="21303">
        <v>1.0</v>
      </c>
      <c r="H79" t="n" s="21304">
        <v>6.0</v>
      </c>
      <c r="I79" t="n" s="21305">
        <v>261.0</v>
      </c>
      <c r="J79" s="21306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1307">
        <v>1.0</v>
      </c>
      <c r="L79" t="n" s="21308">
        <v>4.0</v>
      </c>
      <c r="M79" t="n" s="21309">
        <v>6.0</v>
      </c>
      <c r="N79" t="n" s="21310">
        <v>2.0</v>
      </c>
      <c r="O79" t="n" s="21311">
        <v>1.0</v>
      </c>
      <c r="P79" s="21312">
        <f>IF(HLOOKUP("Shots",A1:CV300,79,FALSE)=0,0,HLOOKUP("SIB",A1:CV300,79,FALSE)/HLOOKUP("Shots",A1:CV300,79,FALSE))</f>
      </c>
      <c r="Q79" t="n" s="21313">
        <v>0.0</v>
      </c>
      <c r="R79" s="21314">
        <f>IF(HLOOKUP("Shots",A1:CV300,79,FALSE)=0,0,HLOOKUP("S6YD",A1:CV300,79,FALSE)/HLOOKUP("Shots",A1:CV300,79,FALSE))</f>
      </c>
      <c r="S79" t="n" s="21315">
        <v>0.0</v>
      </c>
      <c r="T79" s="21316">
        <f>IF(HLOOKUP("Shots",A1:CV300,79,FALSE)=0,0,HLOOKUP("Headers",A1:CV300,79,FALSE)/HLOOKUP("Shots",A1:CV300,79,FALSE))</f>
      </c>
      <c r="U79" t="n" s="21317">
        <v>2.0</v>
      </c>
      <c r="V79" s="21318">
        <f>IF(HLOOKUP("Shots",A1:CV300,79,FALSE)=0,0,HLOOKUP("SOT",A1:CV300,79,FALSE)/HLOOKUP("Shots",A1:CV300,79,FALSE))</f>
      </c>
      <c r="W79" s="21319">
        <f>IF(HLOOKUP("Shots",A1:CV300,79,FALSE)=0,0,HLOOKUP("Gs",A1:CV300,79,FALSE)/HLOOKUP("Shots",A1:CV300,79,FALSE))</f>
      </c>
      <c r="X79" t="n" s="21320">
        <v>0.0</v>
      </c>
      <c r="Y79" t="n" s="21321">
        <v>0.0</v>
      </c>
      <c r="Z79" t="n" s="21322">
        <v>3.0</v>
      </c>
      <c r="AA79" s="21323">
        <f>IF(HLOOKUP("KP",A1:CV300,79,FALSE)=0,0,HLOOKUP("As",A1:CV300,79,FALSE)/HLOOKUP("KP",A1:CV300,79,FALSE))</f>
      </c>
      <c r="AB79" s="21324"/>
      <c r="AC79" t="n" s="21325">
        <v>12.0</v>
      </c>
      <c r="AD79" t="n" s="21326">
        <v>1.0</v>
      </c>
      <c r="AE79" t="n" s="21327">
        <v>1.0</v>
      </c>
      <c r="AF79" t="n" s="21328">
        <v>0.0</v>
      </c>
      <c r="AG79" s="21329">
        <f>IF(HLOOKUP("BC",A1:CV300,79,FALSE)=0,0,HLOOKUP("Gs - BC",A1:CV300,79,FALSE)/HLOOKUP("BC",A1:CV300,79,FALSE))</f>
      </c>
      <c r="AH79" s="21330">
        <f>HLOOKUP("BC",A1:CV300,79,FALSE) - HLOOKUP("BC Miss",A1:CV300,79,FALSE)</f>
      </c>
      <c r="AI79" s="21331">
        <f>IF(HLOOKUP("Gs",A1:CV300,79,FALSE)=0,0,HLOOKUP("Gs - BC",A1:CV300,79,FALSE)/HLOOKUP("Gs",A1:CV300,79,FALSE))</f>
      </c>
      <c r="AJ79" t="n" s="21332">
        <v>0.0</v>
      </c>
      <c r="AK79" t="n" s="21333">
        <v>0.0</v>
      </c>
      <c r="AL79" s="21334">
        <f>HLOOKUP("BC",A1:CV300,79,FALSE) - (HLOOKUP("PK Gs",A1:CV300,79,FALSE) + HLOOKUP("PK Miss",A1:CV300,79,FALSE))</f>
      </c>
      <c r="AM79" s="21335">
        <f>HLOOKUP("BC Miss",A1:CV300,79,FALSE) - HLOOKUP("PK Miss",A1:CV300,79,FALSE)</f>
      </c>
      <c r="AN79" s="21336">
        <f>IF(HLOOKUP("BC - Open",A1:CV300,79,FALSE)=0,0,HLOOKUP("BC - Open Miss",A1:CV300,79,FALSE)/HLOOKUP("BC - Open",A1:CV300,79,FALSE))</f>
      </c>
      <c r="AO79" t="n" s="21337">
        <v>1.0</v>
      </c>
      <c r="AP79" s="21338">
        <f>IF(HLOOKUP("Gs",A1:CV300,79,FALSE)=0,0,HLOOKUP("GIB",A1:CV300,79,FALSE)/HLOOKUP("Gs",A1:CV300,79,FALSE))</f>
      </c>
      <c r="AQ79" t="n" s="21339">
        <v>0.0</v>
      </c>
      <c r="AR79" s="21340">
        <f>IF(HLOOKUP("Gs",A1:CV300,79,FALSE)=0,0,HLOOKUP("Gs - Open",A1:CV300,79,FALSE)/HLOOKUP("Gs",A1:CV300,79,FALSE))</f>
      </c>
      <c r="AS79" t="n" s="21341">
        <v>0.16</v>
      </c>
      <c r="AT79" t="n" s="21342">
        <v>0.27</v>
      </c>
      <c r="AU79" s="21343">
        <f>IF(HLOOKUP("Mins",A1:CV300,79,FALSE)=0,0,HLOOKUP("Pts",A1:CV300,79,FALSE)/HLOOKUP("Mins",A1:CV300,79,FALSE)* 90)</f>
      </c>
      <c r="AV79" s="21344">
        <f>IF(HLOOKUP("Apps",A1:CV300,79,FALSE)=0,0,HLOOKUP("Pts",A1:CV300,79,FALSE)/HLOOKUP("Apps",A1:CV300,79,FALSE)* 1)</f>
      </c>
      <c r="AW79" s="21345">
        <f>IF(HLOOKUP("Mins",A1:CV300,79,FALSE)=0,0,HLOOKUP("Gs",A1:CV300,79,FALSE)/HLOOKUP("Mins",A1:CV300,79,FALSE)* 90)</f>
      </c>
      <c r="AX79" s="21346">
        <f>IF(HLOOKUP("Mins",A1:CV300,79,FALSE)=0,0,HLOOKUP("Bonus",A1:CV300,79,FALSE)/HLOOKUP("Mins",A1:CV300,79,FALSE)* 90)</f>
      </c>
      <c r="AY79" s="21347">
        <f>IF(HLOOKUP("Mins",A1:CV300,79,FALSE)=0,0,HLOOKUP("BPS",A1:CV300,79,FALSE)/HLOOKUP("Mins",A1:CV300,79,FALSE)* 90)</f>
      </c>
      <c r="AZ79" s="21348">
        <f>IF(HLOOKUP("Mins",A1:CV300,79,FALSE)=0,0,HLOOKUP("Base BPS",A1:CV300,79,FALSE)/HLOOKUP("Mins",A1:CV300,79,FALSE)* 90)</f>
      </c>
      <c r="BA79" s="21349">
        <f>IF(HLOOKUP("Mins",A1:CV300,79,FALSE)=0,0,HLOOKUP("PenTchs",A1:CV300,79,FALSE)/HLOOKUP("Mins",A1:CV300,79,FALSE)* 90)</f>
      </c>
      <c r="BB79" s="21350">
        <f>IF(HLOOKUP("Mins",A1:CV300,79,FALSE)=0,0,HLOOKUP("Shots",A1:CV300,79,FALSE)/HLOOKUP("Mins",A1:CV300,79,FALSE)* 90)</f>
      </c>
      <c r="BC79" s="21351">
        <f>IF(HLOOKUP("Mins",A1:CV300,79,FALSE)=0,0,HLOOKUP("SIB",A1:CV300,79,FALSE)/HLOOKUP("Mins",A1:CV300,79,FALSE)* 90)</f>
      </c>
      <c r="BD79" s="21352">
        <f>IF(HLOOKUP("Mins",A1:CV300,79,FALSE)=0,0,HLOOKUP("S6YD",A1:CV300,79,FALSE)/HLOOKUP("Mins",A1:CV300,79,FALSE)* 90)</f>
      </c>
      <c r="BE79" s="21353">
        <f>IF(HLOOKUP("Mins",A1:CV300,79,FALSE)=0,0,HLOOKUP("Headers",A1:CV300,79,FALSE)/HLOOKUP("Mins",A1:CV300,79,FALSE)* 90)</f>
      </c>
      <c r="BF79" s="21354">
        <f>IF(HLOOKUP("Mins",A1:CV300,79,FALSE)=0,0,HLOOKUP("SOT",A1:CV300,79,FALSE)/HLOOKUP("Mins",A1:CV300,79,FALSE)* 90)</f>
      </c>
      <c r="BG79" s="21355">
        <f>IF(HLOOKUP("Mins",A1:CV300,79,FALSE)=0,0,HLOOKUP("As",A1:CV300,79,FALSE)/HLOOKUP("Mins",A1:CV300,79,FALSE)* 90)</f>
      </c>
      <c r="BH79" s="21356">
        <f>IF(HLOOKUP("Mins",A1:CV300,79,FALSE)=0,0,HLOOKUP("FPL As",A1:CV300,79,FALSE)/HLOOKUP("Mins",A1:CV300,79,FALSE)* 90)</f>
      </c>
      <c r="BI79" s="21357">
        <f>IF(HLOOKUP("Mins",A1:CV300,79,FALSE)=0,0,HLOOKUP("BC Created",A1:CV300,79,FALSE)/HLOOKUP("Mins",A1:CV300,79,FALSE)* 90)</f>
      </c>
      <c r="BJ79" s="21358">
        <f>IF(HLOOKUP("Mins",A1:CV300,79,FALSE)=0,0,HLOOKUP("KP",A1:CV300,79,FALSE)/HLOOKUP("Mins",A1:CV300,79,FALSE)* 90)</f>
      </c>
      <c r="BK79" s="21359">
        <f>IF(HLOOKUP("Mins",A1:CV300,79,FALSE)=0,0,HLOOKUP("BC",A1:CV300,79,FALSE)/HLOOKUP("Mins",A1:CV300,79,FALSE)* 90)</f>
      </c>
      <c r="BL79" s="21360">
        <f>IF(HLOOKUP("Mins",A1:CV300,79,FALSE)=0,0,HLOOKUP("BC Miss",A1:CV300,79,FALSE)/HLOOKUP("Mins",A1:CV300,79,FALSE)* 90)</f>
      </c>
      <c r="BM79" s="21361">
        <f>IF(HLOOKUP("Mins",A1:CV300,79,FALSE)=0,0,HLOOKUP("Gs - BC",A1:CV300,79,FALSE)/HLOOKUP("Mins",A1:CV300,79,FALSE)* 90)</f>
      </c>
      <c r="BN79" s="21362">
        <f>IF(HLOOKUP("Mins",A1:CV300,79,FALSE)=0,0,HLOOKUP("GIB",A1:CV300,79,FALSE)/HLOOKUP("Mins",A1:CV300,79,FALSE)* 90)</f>
      </c>
      <c r="BO79" s="21363">
        <f>IF(HLOOKUP("Mins",A1:CV300,79,FALSE)=0,0,HLOOKUP("Gs - Open",A1:CV300,79,FALSE)/HLOOKUP("Mins",A1:CV300,79,FALSE)* 90)</f>
      </c>
      <c r="BP79" s="21364">
        <f>IF(HLOOKUP("Mins",A1:CV300,79,FALSE)=0,0,HLOOKUP("ICT Index",A1:CV300,79,FALSE)/HLOOKUP("Mins",A1:CV300,79,FALSE)* 90)</f>
      </c>
      <c r="BQ79" s="21365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1366">
        <f>0.0885*HLOOKUP("KP/90",A1:CV300,79,FALSE)</f>
      </c>
      <c r="BS79" s="21367">
        <f>5*HLOOKUP("xG/90",A1:CV300,79,FALSE)+3*HLOOKUP("xA/90",A1:CV300,79,FALSE)</f>
      </c>
      <c r="BT79" s="21368">
        <f>HLOOKUP("xPts/90",A1:CV300,79,FALSE)-(5*0.75*(HLOOKUP("PK Gs",A1:CV300,79,FALSE)+HLOOKUP("PK Miss",A1:CV300,79,FALSE))*90/HLOOKUP("Mins",A1:CV300,79,FALSE))</f>
      </c>
      <c r="BU79" s="21369">
        <f>IF(HLOOKUP("Mins",A1:CV300,79,FALSE)=0,0,HLOOKUP("fsXG",A1:CV300,79,FALSE)/HLOOKUP("Mins",A1:CV300,79,FALSE)* 90)</f>
      </c>
      <c r="BV79" s="21370">
        <f>IF(HLOOKUP("Mins",A1:CV300,79,FALSE)=0,0,HLOOKUP("fsXA",A1:CV300,79,FALSE)/HLOOKUP("Mins",A1:CV300,79,FALSE)* 90)</f>
      </c>
      <c r="BW79" s="21371">
        <f>5*HLOOKUP("fsXG/90",A1:CV300,79,FALSE)+3*HLOOKUP("fsXA/90",A1:CV300,79,FALSE)</f>
      </c>
      <c r="BX79" t="n" s="21372">
        <v>0.09009821712970734</v>
      </c>
      <c r="BY79" t="n" s="21373">
        <v>0.07782866805791855</v>
      </c>
      <c r="BZ79" s="21374">
        <f>5*HLOOKUP("uXG/90",A1:CV300,79,FALSE)+3*HLOOKUP("uXA/90",A1:CV300,79,FALSE)</f>
      </c>
    </row>
    <row r="80">
      <c r="A80" t="s" s="21375">
        <v>371</v>
      </c>
      <c r="B80" t="s" s="21376">
        <v>82</v>
      </c>
      <c r="C80" t="n" s="21377">
        <v>4.300000190734863</v>
      </c>
      <c r="D80" t="n" s="21378">
        <v>207.0</v>
      </c>
      <c r="E80" t="n" s="21379">
        <v>4.0</v>
      </c>
      <c r="F80" t="n" s="21380">
        <v>25.0</v>
      </c>
      <c r="G80" t="n" s="21381">
        <v>1.0</v>
      </c>
      <c r="H80" t="n" s="21382">
        <v>0.0</v>
      </c>
      <c r="I80" t="n" s="21383">
        <v>111.0</v>
      </c>
      <c r="J80" s="21384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1385">
        <v>0.0</v>
      </c>
      <c r="L80" t="n" s="21386">
        <v>1.0</v>
      </c>
      <c r="M80" t="n" s="21387">
        <v>2.0</v>
      </c>
      <c r="N80" t="n" s="21388">
        <v>2.0</v>
      </c>
      <c r="O80" t="n" s="21389">
        <v>1.0</v>
      </c>
      <c r="P80" s="21390">
        <f>IF(HLOOKUP("Shots",A1:CV300,80,FALSE)=0,0,HLOOKUP("SIB",A1:CV300,80,FALSE)/HLOOKUP("Shots",A1:CV300,80,FALSE))</f>
      </c>
      <c r="Q80" t="n" s="21391">
        <v>0.0</v>
      </c>
      <c r="R80" s="21392">
        <f>IF(HLOOKUP("Shots",A1:CV300,80,FALSE)=0,0,HLOOKUP("S6YD",A1:CV300,80,FALSE)/HLOOKUP("Shots",A1:CV300,80,FALSE))</f>
      </c>
      <c r="S80" t="n" s="21393">
        <v>0.0</v>
      </c>
      <c r="T80" s="21394">
        <f>IF(HLOOKUP("Shots",A1:CV300,80,FALSE)=0,0,HLOOKUP("Headers",A1:CV300,80,FALSE)/HLOOKUP("Shots",A1:CV300,80,FALSE))</f>
      </c>
      <c r="U80" t="n" s="21395">
        <v>1.0</v>
      </c>
      <c r="V80" s="21396">
        <f>IF(HLOOKUP("Shots",A1:CV300,80,FALSE)=0,0,HLOOKUP("SOT",A1:CV300,80,FALSE)/HLOOKUP("Shots",A1:CV300,80,FALSE))</f>
      </c>
      <c r="W80" s="21397">
        <f>IF(HLOOKUP("Shots",A1:CV300,80,FALSE)=0,0,HLOOKUP("Gs",A1:CV300,80,FALSE)/HLOOKUP("Shots",A1:CV300,80,FALSE))</f>
      </c>
      <c r="X80" t="n" s="21398">
        <v>0.0</v>
      </c>
      <c r="Y80" t="n" s="21399">
        <v>1.0</v>
      </c>
      <c r="Z80" t="n" s="21400">
        <v>0.0</v>
      </c>
      <c r="AA80" s="21401">
        <f>IF(HLOOKUP("KP",A1:CV300,80,FALSE)=0,0,HLOOKUP("As",A1:CV300,80,FALSE)/HLOOKUP("KP",A1:CV300,80,FALSE))</f>
      </c>
      <c r="AB80" s="21402"/>
      <c r="AC80" t="n" s="21403">
        <v>25.0</v>
      </c>
      <c r="AD80" t="n" s="21404">
        <v>0.0</v>
      </c>
      <c r="AE80" t="n" s="21405">
        <v>0.0</v>
      </c>
      <c r="AF80" t="n" s="21406">
        <v>0.0</v>
      </c>
      <c r="AG80" s="21407">
        <f>IF(HLOOKUP("BC",A1:CV300,80,FALSE)=0,0,HLOOKUP("Gs - BC",A1:CV300,80,FALSE)/HLOOKUP("BC",A1:CV300,80,FALSE))</f>
      </c>
      <c r="AH80" s="21408">
        <f>HLOOKUP("BC",A1:CV300,80,FALSE) - HLOOKUP("BC Miss",A1:CV300,80,FALSE)</f>
      </c>
      <c r="AI80" s="21409">
        <f>IF(HLOOKUP("Gs",A1:CV300,80,FALSE)=0,0,HLOOKUP("Gs - BC",A1:CV300,80,FALSE)/HLOOKUP("Gs",A1:CV300,80,FALSE))</f>
      </c>
      <c r="AJ80" t="n" s="21410">
        <v>0.0</v>
      </c>
      <c r="AK80" t="n" s="21411">
        <v>0.0</v>
      </c>
      <c r="AL80" s="21412">
        <f>HLOOKUP("BC",A1:CV300,80,FALSE) - (HLOOKUP("PK Gs",A1:CV300,80,FALSE) + HLOOKUP("PK Miss",A1:CV300,80,FALSE))</f>
      </c>
      <c r="AM80" s="21413">
        <f>HLOOKUP("BC Miss",A1:CV300,80,FALSE) - HLOOKUP("PK Miss",A1:CV300,80,FALSE)</f>
      </c>
      <c r="AN80" s="21414">
        <f>IF(HLOOKUP("BC - Open",A1:CV300,80,FALSE)=0,0,HLOOKUP("BC - Open Miss",A1:CV300,80,FALSE)/HLOOKUP("BC - Open",A1:CV300,80,FALSE))</f>
      </c>
      <c r="AO80" t="n" s="21415">
        <v>0.0</v>
      </c>
      <c r="AP80" s="21416">
        <f>IF(HLOOKUP("Gs",A1:CV300,80,FALSE)=0,0,HLOOKUP("GIB",A1:CV300,80,FALSE)/HLOOKUP("Gs",A1:CV300,80,FALSE))</f>
      </c>
      <c r="AQ80" t="n" s="21417">
        <v>1.0</v>
      </c>
      <c r="AR80" s="21418">
        <f>IF(HLOOKUP("Gs",A1:CV300,80,FALSE)=0,0,HLOOKUP("Gs - Open",A1:CV300,80,FALSE)/HLOOKUP("Gs",A1:CV300,80,FALSE))</f>
      </c>
      <c r="AS80" t="n" s="21419">
        <v>0.13</v>
      </c>
      <c r="AT80" t="n" s="21420">
        <v>0.03</v>
      </c>
      <c r="AU80" s="21421">
        <f>IF(HLOOKUP("Mins",A1:CV300,80,FALSE)=0,0,HLOOKUP("Pts",A1:CV300,80,FALSE)/HLOOKUP("Mins",A1:CV300,80,FALSE)* 90)</f>
      </c>
      <c r="AV80" s="21422">
        <f>IF(HLOOKUP("Apps",A1:CV300,80,FALSE)=0,0,HLOOKUP("Pts",A1:CV300,80,FALSE)/HLOOKUP("Apps",A1:CV300,80,FALSE)* 1)</f>
      </c>
      <c r="AW80" s="21423">
        <f>IF(HLOOKUP("Mins",A1:CV300,80,FALSE)=0,0,HLOOKUP("Gs",A1:CV300,80,FALSE)/HLOOKUP("Mins",A1:CV300,80,FALSE)* 90)</f>
      </c>
      <c r="AX80" s="21424">
        <f>IF(HLOOKUP("Mins",A1:CV300,80,FALSE)=0,0,HLOOKUP("Bonus",A1:CV300,80,FALSE)/HLOOKUP("Mins",A1:CV300,80,FALSE)* 90)</f>
      </c>
      <c r="AY80" s="21425">
        <f>IF(HLOOKUP("Mins",A1:CV300,80,FALSE)=0,0,HLOOKUP("BPS",A1:CV300,80,FALSE)/HLOOKUP("Mins",A1:CV300,80,FALSE)* 90)</f>
      </c>
      <c r="AZ80" s="21426">
        <f>IF(HLOOKUP("Mins",A1:CV300,80,FALSE)=0,0,HLOOKUP("Base BPS",A1:CV300,80,FALSE)/HLOOKUP("Mins",A1:CV300,80,FALSE)* 90)</f>
      </c>
      <c r="BA80" s="21427">
        <f>IF(HLOOKUP("Mins",A1:CV300,80,FALSE)=0,0,HLOOKUP("PenTchs",A1:CV300,80,FALSE)/HLOOKUP("Mins",A1:CV300,80,FALSE)* 90)</f>
      </c>
      <c r="BB80" s="21428">
        <f>IF(HLOOKUP("Mins",A1:CV300,80,FALSE)=0,0,HLOOKUP("Shots",A1:CV300,80,FALSE)/HLOOKUP("Mins",A1:CV300,80,FALSE)* 90)</f>
      </c>
      <c r="BC80" s="21429">
        <f>IF(HLOOKUP("Mins",A1:CV300,80,FALSE)=0,0,HLOOKUP("SIB",A1:CV300,80,FALSE)/HLOOKUP("Mins",A1:CV300,80,FALSE)* 90)</f>
      </c>
      <c r="BD80" s="21430">
        <f>IF(HLOOKUP("Mins",A1:CV300,80,FALSE)=0,0,HLOOKUP("S6YD",A1:CV300,80,FALSE)/HLOOKUP("Mins",A1:CV300,80,FALSE)* 90)</f>
      </c>
      <c r="BE80" s="21431">
        <f>IF(HLOOKUP("Mins",A1:CV300,80,FALSE)=0,0,HLOOKUP("Headers",A1:CV300,80,FALSE)/HLOOKUP("Mins",A1:CV300,80,FALSE)* 90)</f>
      </c>
      <c r="BF80" s="21432">
        <f>IF(HLOOKUP("Mins",A1:CV300,80,FALSE)=0,0,HLOOKUP("SOT",A1:CV300,80,FALSE)/HLOOKUP("Mins",A1:CV300,80,FALSE)* 90)</f>
      </c>
      <c r="BG80" s="21433">
        <f>IF(HLOOKUP("Mins",A1:CV300,80,FALSE)=0,0,HLOOKUP("As",A1:CV300,80,FALSE)/HLOOKUP("Mins",A1:CV300,80,FALSE)* 90)</f>
      </c>
      <c r="BH80" s="21434">
        <f>IF(HLOOKUP("Mins",A1:CV300,80,FALSE)=0,0,HLOOKUP("FPL As",A1:CV300,80,FALSE)/HLOOKUP("Mins",A1:CV300,80,FALSE)* 90)</f>
      </c>
      <c r="BI80" s="21435">
        <f>IF(HLOOKUP("Mins",A1:CV300,80,FALSE)=0,0,HLOOKUP("BC Created",A1:CV300,80,FALSE)/HLOOKUP("Mins",A1:CV300,80,FALSE)* 90)</f>
      </c>
      <c r="BJ80" s="21436">
        <f>IF(HLOOKUP("Mins",A1:CV300,80,FALSE)=0,0,HLOOKUP("KP",A1:CV300,80,FALSE)/HLOOKUP("Mins",A1:CV300,80,FALSE)* 90)</f>
      </c>
      <c r="BK80" s="21437">
        <f>IF(HLOOKUP("Mins",A1:CV300,80,FALSE)=0,0,HLOOKUP("BC",A1:CV300,80,FALSE)/HLOOKUP("Mins",A1:CV300,80,FALSE)* 90)</f>
      </c>
      <c r="BL80" s="21438">
        <f>IF(HLOOKUP("Mins",A1:CV300,80,FALSE)=0,0,HLOOKUP("BC Miss",A1:CV300,80,FALSE)/HLOOKUP("Mins",A1:CV300,80,FALSE)* 90)</f>
      </c>
      <c r="BM80" s="21439">
        <f>IF(HLOOKUP("Mins",A1:CV300,80,FALSE)=0,0,HLOOKUP("Gs - BC",A1:CV300,80,FALSE)/HLOOKUP("Mins",A1:CV300,80,FALSE)* 90)</f>
      </c>
      <c r="BN80" s="21440">
        <f>IF(HLOOKUP("Mins",A1:CV300,80,FALSE)=0,0,HLOOKUP("GIB",A1:CV300,80,FALSE)/HLOOKUP("Mins",A1:CV300,80,FALSE)* 90)</f>
      </c>
      <c r="BO80" s="21441">
        <f>IF(HLOOKUP("Mins",A1:CV300,80,FALSE)=0,0,HLOOKUP("Gs - Open",A1:CV300,80,FALSE)/HLOOKUP("Mins",A1:CV300,80,FALSE)* 90)</f>
      </c>
      <c r="BP80" s="21442">
        <f>IF(HLOOKUP("Mins",A1:CV300,80,FALSE)=0,0,HLOOKUP("ICT Index",A1:CV300,80,FALSE)/HLOOKUP("Mins",A1:CV300,80,FALSE)* 90)</f>
      </c>
      <c r="BQ80" s="21443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1444">
        <f>0.0885*HLOOKUP("KP/90",A1:CV300,80,FALSE)</f>
      </c>
      <c r="BS80" s="21445">
        <f>5*HLOOKUP("xG/90",A1:CV300,80,FALSE)+3*HLOOKUP("xA/90",A1:CV300,80,FALSE)</f>
      </c>
      <c r="BT80" s="21446">
        <f>HLOOKUP("xPts/90",A1:CV300,80,FALSE)-(5*0.75*(HLOOKUP("PK Gs",A1:CV300,80,FALSE)+HLOOKUP("PK Miss",A1:CV300,80,FALSE))*90/HLOOKUP("Mins",A1:CV300,80,FALSE))</f>
      </c>
      <c r="BU80" s="21447">
        <f>IF(HLOOKUP("Mins",A1:CV300,80,FALSE)=0,0,HLOOKUP("fsXG",A1:CV300,80,FALSE)/HLOOKUP("Mins",A1:CV300,80,FALSE)* 90)</f>
      </c>
      <c r="BV80" s="21448">
        <f>IF(HLOOKUP("Mins",A1:CV300,80,FALSE)=0,0,HLOOKUP("fsXA",A1:CV300,80,FALSE)/HLOOKUP("Mins",A1:CV300,80,FALSE)* 90)</f>
      </c>
      <c r="BW80" s="21449">
        <f>5*HLOOKUP("fsXG/90",A1:CV300,80,FALSE)+3*HLOOKUP("fsXA/90",A1:CV300,80,FALSE)</f>
      </c>
      <c r="BX80" t="n" s="21450">
        <v>0.05584840103983879</v>
      </c>
      <c r="BY80" t="n" s="21451">
        <v>0.0</v>
      </c>
      <c r="BZ80" s="21452">
        <f>5*HLOOKUP("uXG/90",A1:CV300,80,FALSE)+3*HLOOKUP("uXA/90",A1:CV300,80,FALSE)</f>
      </c>
    </row>
    <row r="81">
      <c r="A81" t="s" s="21453">
        <v>372</v>
      </c>
      <c r="B81" t="s" s="21454">
        <v>107</v>
      </c>
      <c r="C81" t="n" s="21455">
        <v>6.800000190734863</v>
      </c>
      <c r="D81" t="n" s="21456">
        <v>540.0</v>
      </c>
      <c r="E81" t="n" s="21457">
        <v>6.0</v>
      </c>
      <c r="F81" t="n" s="21458">
        <v>73.0</v>
      </c>
      <c r="G81" t="n" s="21459">
        <v>1.0</v>
      </c>
      <c r="H81" t="n" s="21460">
        <v>4.0</v>
      </c>
      <c r="I81" t="n" s="21461">
        <v>209.0</v>
      </c>
      <c r="J81" s="21462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1463">
        <v>0.0</v>
      </c>
      <c r="L81" t="n" s="21464">
        <v>5.0</v>
      </c>
      <c r="M81" t="n" s="21465">
        <v>50.0</v>
      </c>
      <c r="N81" t="n" s="21466">
        <v>6.0</v>
      </c>
      <c r="O81" t="n" s="21467">
        <v>5.0</v>
      </c>
      <c r="P81" s="21468">
        <f>IF(HLOOKUP("Shots",A1:CV300,81,FALSE)=0,0,HLOOKUP("SIB",A1:CV300,81,FALSE)/HLOOKUP("Shots",A1:CV300,81,FALSE))</f>
      </c>
      <c r="Q81" t="n" s="21469">
        <v>0.0</v>
      </c>
      <c r="R81" s="21470">
        <f>IF(HLOOKUP("Shots",A1:CV300,81,FALSE)=0,0,HLOOKUP("S6YD",A1:CV300,81,FALSE)/HLOOKUP("Shots",A1:CV300,81,FALSE))</f>
      </c>
      <c r="S81" t="n" s="21471">
        <v>0.0</v>
      </c>
      <c r="T81" s="21472">
        <f>IF(HLOOKUP("Shots",A1:CV300,81,FALSE)=0,0,HLOOKUP("Headers",A1:CV300,81,FALSE)/HLOOKUP("Shots",A1:CV300,81,FALSE))</f>
      </c>
      <c r="U81" t="n" s="21473">
        <v>2.0</v>
      </c>
      <c r="V81" s="21474">
        <f>IF(HLOOKUP("Shots",A1:CV300,81,FALSE)=0,0,HLOOKUP("SOT",A1:CV300,81,FALSE)/HLOOKUP("Shots",A1:CV300,81,FALSE))</f>
      </c>
      <c r="W81" s="21475">
        <f>IF(HLOOKUP("Shots",A1:CV300,81,FALSE)=0,0,HLOOKUP("Gs",A1:CV300,81,FALSE)/HLOOKUP("Shots",A1:CV300,81,FALSE))</f>
      </c>
      <c r="X81" t="n" s="21476">
        <v>1.0</v>
      </c>
      <c r="Y81" t="n" s="21477">
        <v>3.0</v>
      </c>
      <c r="Z81" t="n" s="21478">
        <v>5.0</v>
      </c>
      <c r="AA81" s="21479">
        <f>IF(HLOOKUP("KP",A1:CV300,81,FALSE)=0,0,HLOOKUP("As",A1:CV300,81,FALSE)/HLOOKUP("KP",A1:CV300,81,FALSE))</f>
      </c>
      <c r="AB81" s="21480"/>
      <c r="AC81" t="n" s="21481">
        <v>33.0</v>
      </c>
      <c r="AD81" t="n" s="21482">
        <v>1.0</v>
      </c>
      <c r="AE81" t="n" s="21483">
        <v>0.0</v>
      </c>
      <c r="AF81" t="n" s="21484">
        <v>0.0</v>
      </c>
      <c r="AG81" s="21485">
        <f>IF(HLOOKUP("BC",A1:CV300,81,FALSE)=0,0,HLOOKUP("Gs - BC",A1:CV300,81,FALSE)/HLOOKUP("BC",A1:CV300,81,FALSE))</f>
      </c>
      <c r="AH81" s="21486">
        <f>HLOOKUP("BC",A1:CV300,81,FALSE) - HLOOKUP("BC Miss",A1:CV300,81,FALSE)</f>
      </c>
      <c r="AI81" s="21487">
        <f>IF(HLOOKUP("Gs",A1:CV300,81,FALSE)=0,0,HLOOKUP("Gs - BC",A1:CV300,81,FALSE)/HLOOKUP("Gs",A1:CV300,81,FALSE))</f>
      </c>
      <c r="AJ81" t="n" s="21488">
        <v>0.0</v>
      </c>
      <c r="AK81" t="n" s="21489">
        <v>0.0</v>
      </c>
      <c r="AL81" s="21490">
        <f>HLOOKUP("BC",A1:CV300,81,FALSE) - (HLOOKUP("PK Gs",A1:CV300,81,FALSE) + HLOOKUP("PK Miss",A1:CV300,81,FALSE))</f>
      </c>
      <c r="AM81" s="21491">
        <f>HLOOKUP("BC Miss",A1:CV300,81,FALSE) - HLOOKUP("PK Miss",A1:CV300,81,FALSE)</f>
      </c>
      <c r="AN81" s="21492">
        <f>IF(HLOOKUP("BC - Open",A1:CV300,81,FALSE)=0,0,HLOOKUP("BC - Open Miss",A1:CV300,81,FALSE)/HLOOKUP("BC - Open",A1:CV300,81,FALSE))</f>
      </c>
      <c r="AO81" t="n" s="21493">
        <v>1.0</v>
      </c>
      <c r="AP81" s="21494">
        <f>IF(HLOOKUP("Gs",A1:CV300,81,FALSE)=0,0,HLOOKUP("GIB",A1:CV300,81,FALSE)/HLOOKUP("Gs",A1:CV300,81,FALSE))</f>
      </c>
      <c r="AQ81" t="n" s="21495">
        <v>1.0</v>
      </c>
      <c r="AR81" s="21496">
        <f>IF(HLOOKUP("Gs",A1:CV300,81,FALSE)=0,0,HLOOKUP("Gs - Open",A1:CV300,81,FALSE)/HLOOKUP("Gs",A1:CV300,81,FALSE))</f>
      </c>
      <c r="AS81" t="n" s="21497">
        <v>0.35</v>
      </c>
      <c r="AT81" t="n" s="21498">
        <v>1.44</v>
      </c>
      <c r="AU81" s="21499">
        <f>IF(HLOOKUP("Mins",A1:CV300,81,FALSE)=0,0,HLOOKUP("Pts",A1:CV300,81,FALSE)/HLOOKUP("Mins",A1:CV300,81,FALSE)* 90)</f>
      </c>
      <c r="AV81" s="21500">
        <f>IF(HLOOKUP("Apps",A1:CV300,81,FALSE)=0,0,HLOOKUP("Pts",A1:CV300,81,FALSE)/HLOOKUP("Apps",A1:CV300,81,FALSE)* 1)</f>
      </c>
      <c r="AW81" s="21501">
        <f>IF(HLOOKUP("Mins",A1:CV300,81,FALSE)=0,0,HLOOKUP("Gs",A1:CV300,81,FALSE)/HLOOKUP("Mins",A1:CV300,81,FALSE)* 90)</f>
      </c>
      <c r="AX81" s="21502">
        <f>IF(HLOOKUP("Mins",A1:CV300,81,FALSE)=0,0,HLOOKUP("Bonus",A1:CV300,81,FALSE)/HLOOKUP("Mins",A1:CV300,81,FALSE)* 90)</f>
      </c>
      <c r="AY81" s="21503">
        <f>IF(HLOOKUP("Mins",A1:CV300,81,FALSE)=0,0,HLOOKUP("BPS",A1:CV300,81,FALSE)/HLOOKUP("Mins",A1:CV300,81,FALSE)* 90)</f>
      </c>
      <c r="AZ81" s="21504">
        <f>IF(HLOOKUP("Mins",A1:CV300,81,FALSE)=0,0,HLOOKUP("Base BPS",A1:CV300,81,FALSE)/HLOOKUP("Mins",A1:CV300,81,FALSE)* 90)</f>
      </c>
      <c r="BA81" s="21505">
        <f>IF(HLOOKUP("Mins",A1:CV300,81,FALSE)=0,0,HLOOKUP("PenTchs",A1:CV300,81,FALSE)/HLOOKUP("Mins",A1:CV300,81,FALSE)* 90)</f>
      </c>
      <c r="BB81" s="21506">
        <f>IF(HLOOKUP("Mins",A1:CV300,81,FALSE)=0,0,HLOOKUP("Shots",A1:CV300,81,FALSE)/HLOOKUP("Mins",A1:CV300,81,FALSE)* 90)</f>
      </c>
      <c r="BC81" s="21507">
        <f>IF(HLOOKUP("Mins",A1:CV300,81,FALSE)=0,0,HLOOKUP("SIB",A1:CV300,81,FALSE)/HLOOKUP("Mins",A1:CV300,81,FALSE)* 90)</f>
      </c>
      <c r="BD81" s="21508">
        <f>IF(HLOOKUP("Mins",A1:CV300,81,FALSE)=0,0,HLOOKUP("S6YD",A1:CV300,81,FALSE)/HLOOKUP("Mins",A1:CV300,81,FALSE)* 90)</f>
      </c>
      <c r="BE81" s="21509">
        <f>IF(HLOOKUP("Mins",A1:CV300,81,FALSE)=0,0,HLOOKUP("Headers",A1:CV300,81,FALSE)/HLOOKUP("Mins",A1:CV300,81,FALSE)* 90)</f>
      </c>
      <c r="BF81" s="21510">
        <f>IF(HLOOKUP("Mins",A1:CV300,81,FALSE)=0,0,HLOOKUP("SOT",A1:CV300,81,FALSE)/HLOOKUP("Mins",A1:CV300,81,FALSE)* 90)</f>
      </c>
      <c r="BG81" s="21511">
        <f>IF(HLOOKUP("Mins",A1:CV300,81,FALSE)=0,0,HLOOKUP("As",A1:CV300,81,FALSE)/HLOOKUP("Mins",A1:CV300,81,FALSE)* 90)</f>
      </c>
      <c r="BH81" s="21512">
        <f>IF(HLOOKUP("Mins",A1:CV300,81,FALSE)=0,0,HLOOKUP("FPL As",A1:CV300,81,FALSE)/HLOOKUP("Mins",A1:CV300,81,FALSE)* 90)</f>
      </c>
      <c r="BI81" s="21513">
        <f>IF(HLOOKUP("Mins",A1:CV300,81,FALSE)=0,0,HLOOKUP("BC Created",A1:CV300,81,FALSE)/HLOOKUP("Mins",A1:CV300,81,FALSE)* 90)</f>
      </c>
      <c r="BJ81" s="21514">
        <f>IF(HLOOKUP("Mins",A1:CV300,81,FALSE)=0,0,HLOOKUP("KP",A1:CV300,81,FALSE)/HLOOKUP("Mins",A1:CV300,81,FALSE)* 90)</f>
      </c>
      <c r="BK81" s="21515">
        <f>IF(HLOOKUP("Mins",A1:CV300,81,FALSE)=0,0,HLOOKUP("BC",A1:CV300,81,FALSE)/HLOOKUP("Mins",A1:CV300,81,FALSE)* 90)</f>
      </c>
      <c r="BL81" s="21516">
        <f>IF(HLOOKUP("Mins",A1:CV300,81,FALSE)=0,0,HLOOKUP("BC Miss",A1:CV300,81,FALSE)/HLOOKUP("Mins",A1:CV300,81,FALSE)* 90)</f>
      </c>
      <c r="BM81" s="21517">
        <f>IF(HLOOKUP("Mins",A1:CV300,81,FALSE)=0,0,HLOOKUP("Gs - BC",A1:CV300,81,FALSE)/HLOOKUP("Mins",A1:CV300,81,FALSE)* 90)</f>
      </c>
      <c r="BN81" s="21518">
        <f>IF(HLOOKUP("Mins",A1:CV300,81,FALSE)=0,0,HLOOKUP("GIB",A1:CV300,81,FALSE)/HLOOKUP("Mins",A1:CV300,81,FALSE)* 90)</f>
      </c>
      <c r="BO81" s="21519">
        <f>IF(HLOOKUP("Mins",A1:CV300,81,FALSE)=0,0,HLOOKUP("Gs - Open",A1:CV300,81,FALSE)/HLOOKUP("Mins",A1:CV300,81,FALSE)* 90)</f>
      </c>
      <c r="BP81" s="21520">
        <f>IF(HLOOKUP("Mins",A1:CV300,81,FALSE)=0,0,HLOOKUP("ICT Index",A1:CV300,81,FALSE)/HLOOKUP("Mins",A1:CV300,81,FALSE)* 90)</f>
      </c>
      <c r="BQ81" s="21521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1522">
        <f>0.0885*HLOOKUP("KP/90",A1:CV300,81,FALSE)</f>
      </c>
      <c r="BS81" s="21523">
        <f>5*HLOOKUP("xG/90",A1:CV300,81,FALSE)+3*HLOOKUP("xA/90",A1:CV300,81,FALSE)</f>
      </c>
      <c r="BT81" s="21524">
        <f>HLOOKUP("xPts/90",A1:CV300,81,FALSE)-(5*0.75*(HLOOKUP("PK Gs",A1:CV300,81,FALSE)+HLOOKUP("PK Miss",A1:CV300,81,FALSE))*90/HLOOKUP("Mins",A1:CV300,81,FALSE))</f>
      </c>
      <c r="BU81" s="21525">
        <f>IF(HLOOKUP("Mins",A1:CV300,81,FALSE)=0,0,HLOOKUP("fsXG",A1:CV300,81,FALSE)/HLOOKUP("Mins",A1:CV300,81,FALSE)* 90)</f>
      </c>
      <c r="BV81" s="21526">
        <f>IF(HLOOKUP("Mins",A1:CV300,81,FALSE)=0,0,HLOOKUP("fsXA",A1:CV300,81,FALSE)/HLOOKUP("Mins",A1:CV300,81,FALSE)* 90)</f>
      </c>
      <c r="BW81" s="21527">
        <f>5*HLOOKUP("fsXG/90",A1:CV300,81,FALSE)+3*HLOOKUP("fsXA/90",A1:CV300,81,FALSE)</f>
      </c>
      <c r="BX81" t="n" s="21528">
        <v>0.0605584979057312</v>
      </c>
      <c r="BY81" t="n" s="21529">
        <v>0.16583923995494843</v>
      </c>
      <c r="BZ81" s="21530">
        <f>5*HLOOKUP("uXG/90",A1:CV300,81,FALSE)+3*HLOOKUP("uXA/90",A1:CV300,81,FALSE)</f>
      </c>
    </row>
    <row r="82">
      <c r="A82" t="s" s="21531">
        <v>373</v>
      </c>
      <c r="B82" t="s" s="21532">
        <v>112</v>
      </c>
      <c r="C82" t="n" s="21533">
        <v>5.199999809265137</v>
      </c>
      <c r="D82" t="n" s="21534">
        <v>294.0</v>
      </c>
      <c r="E82" t="n" s="21535">
        <v>5.0</v>
      </c>
      <c r="F82" t="n" s="21536">
        <v>52.0</v>
      </c>
      <c r="G82" t="n" s="21537">
        <v>1.0</v>
      </c>
      <c r="H82" t="n" s="21538">
        <v>5.0</v>
      </c>
      <c r="I82" t="n" s="21539">
        <v>185.0</v>
      </c>
      <c r="J82" s="21540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1541">
        <v>0.0</v>
      </c>
      <c r="L82" t="n" s="21542">
        <v>3.0</v>
      </c>
      <c r="M82" t="n" s="21543">
        <v>15.0</v>
      </c>
      <c r="N82" t="n" s="21544">
        <v>4.0</v>
      </c>
      <c r="O82" t="n" s="21545">
        <v>3.0</v>
      </c>
      <c r="P82" s="21546">
        <f>IF(HLOOKUP("Shots",A1:CV300,82,FALSE)=0,0,HLOOKUP("SIB",A1:CV300,82,FALSE)/HLOOKUP("Shots",A1:CV300,82,FALSE))</f>
      </c>
      <c r="Q82" t="n" s="21547">
        <v>0.0</v>
      </c>
      <c r="R82" s="21548">
        <f>IF(HLOOKUP("Shots",A1:CV300,82,FALSE)=0,0,HLOOKUP("S6YD",A1:CV300,82,FALSE)/HLOOKUP("Shots",A1:CV300,82,FALSE))</f>
      </c>
      <c r="S82" t="n" s="21549">
        <v>1.0</v>
      </c>
      <c r="T82" s="21550">
        <f>IF(HLOOKUP("Shots",A1:CV300,82,FALSE)=0,0,HLOOKUP("Headers",A1:CV300,82,FALSE)/HLOOKUP("Shots",A1:CV300,82,FALSE))</f>
      </c>
      <c r="U82" t="n" s="21551">
        <v>1.0</v>
      </c>
      <c r="V82" s="21552">
        <f>IF(HLOOKUP("Shots",A1:CV300,82,FALSE)=0,0,HLOOKUP("SOT",A1:CV300,82,FALSE)/HLOOKUP("Shots",A1:CV300,82,FALSE))</f>
      </c>
      <c r="W82" s="21553">
        <f>IF(HLOOKUP("Shots",A1:CV300,82,FALSE)=0,0,HLOOKUP("Gs",A1:CV300,82,FALSE)/HLOOKUP("Shots",A1:CV300,82,FALSE))</f>
      </c>
      <c r="X82" t="n" s="21554">
        <v>1.0</v>
      </c>
      <c r="Y82" t="n" s="21555">
        <v>2.0</v>
      </c>
      <c r="Z82" t="n" s="21556">
        <v>8.0</v>
      </c>
      <c r="AA82" s="21557">
        <f>IF(HLOOKUP("KP",A1:CV300,82,FALSE)=0,0,HLOOKUP("As",A1:CV300,82,FALSE)/HLOOKUP("KP",A1:CV300,82,FALSE))</f>
      </c>
      <c r="AB82" s="21558"/>
      <c r="AC82" t="n" s="21559">
        <v>33.0</v>
      </c>
      <c r="AD82" t="n" s="21560">
        <v>1.0</v>
      </c>
      <c r="AE82" t="n" s="21561">
        <v>1.0</v>
      </c>
      <c r="AF82" t="n" s="21562">
        <v>0.0</v>
      </c>
      <c r="AG82" s="21563">
        <f>IF(HLOOKUP("BC",A1:CV300,82,FALSE)=0,0,HLOOKUP("Gs - BC",A1:CV300,82,FALSE)/HLOOKUP("BC",A1:CV300,82,FALSE))</f>
      </c>
      <c r="AH82" s="21564">
        <f>HLOOKUP("BC",A1:CV300,82,FALSE) - HLOOKUP("BC Miss",A1:CV300,82,FALSE)</f>
      </c>
      <c r="AI82" s="21565">
        <f>IF(HLOOKUP("Gs",A1:CV300,82,FALSE)=0,0,HLOOKUP("Gs - BC",A1:CV300,82,FALSE)/HLOOKUP("Gs",A1:CV300,82,FALSE))</f>
      </c>
      <c r="AJ82" t="n" s="21566">
        <v>0.0</v>
      </c>
      <c r="AK82" t="n" s="21567">
        <v>0.0</v>
      </c>
      <c r="AL82" s="21568">
        <f>HLOOKUP("BC",A1:CV300,82,FALSE) - (HLOOKUP("PK Gs",A1:CV300,82,FALSE) + HLOOKUP("PK Miss",A1:CV300,82,FALSE))</f>
      </c>
      <c r="AM82" s="21569">
        <f>HLOOKUP("BC Miss",A1:CV300,82,FALSE) - HLOOKUP("PK Miss",A1:CV300,82,FALSE)</f>
      </c>
      <c r="AN82" s="21570">
        <f>IF(HLOOKUP("BC - Open",A1:CV300,82,FALSE)=0,0,HLOOKUP("BC - Open Miss",A1:CV300,82,FALSE)/HLOOKUP("BC - Open",A1:CV300,82,FALSE))</f>
      </c>
      <c r="AO82" t="n" s="21571">
        <v>1.0</v>
      </c>
      <c r="AP82" s="21572">
        <f>IF(HLOOKUP("Gs",A1:CV300,82,FALSE)=0,0,HLOOKUP("GIB",A1:CV300,82,FALSE)/HLOOKUP("Gs",A1:CV300,82,FALSE))</f>
      </c>
      <c r="AQ82" t="n" s="21573">
        <v>1.0</v>
      </c>
      <c r="AR82" s="21574">
        <f>IF(HLOOKUP("Gs",A1:CV300,82,FALSE)=0,0,HLOOKUP("Gs - Open",A1:CV300,82,FALSE)/HLOOKUP("Gs",A1:CV300,82,FALSE))</f>
      </c>
      <c r="AS82" t="n" s="21575">
        <v>0.62</v>
      </c>
      <c r="AT82" t="n" s="21576">
        <v>0.74</v>
      </c>
      <c r="AU82" s="21577">
        <f>IF(HLOOKUP("Mins",A1:CV300,82,FALSE)=0,0,HLOOKUP("Pts",A1:CV300,82,FALSE)/HLOOKUP("Mins",A1:CV300,82,FALSE)* 90)</f>
      </c>
      <c r="AV82" s="21578">
        <f>IF(HLOOKUP("Apps",A1:CV300,82,FALSE)=0,0,HLOOKUP("Pts",A1:CV300,82,FALSE)/HLOOKUP("Apps",A1:CV300,82,FALSE)* 1)</f>
      </c>
      <c r="AW82" s="21579">
        <f>IF(HLOOKUP("Mins",A1:CV300,82,FALSE)=0,0,HLOOKUP("Gs",A1:CV300,82,FALSE)/HLOOKUP("Mins",A1:CV300,82,FALSE)* 90)</f>
      </c>
      <c r="AX82" s="21580">
        <f>IF(HLOOKUP("Mins",A1:CV300,82,FALSE)=0,0,HLOOKUP("Bonus",A1:CV300,82,FALSE)/HLOOKUP("Mins",A1:CV300,82,FALSE)* 90)</f>
      </c>
      <c r="AY82" s="21581">
        <f>IF(HLOOKUP("Mins",A1:CV300,82,FALSE)=0,0,HLOOKUP("BPS",A1:CV300,82,FALSE)/HLOOKUP("Mins",A1:CV300,82,FALSE)* 90)</f>
      </c>
      <c r="AZ82" s="21582">
        <f>IF(HLOOKUP("Mins",A1:CV300,82,FALSE)=0,0,HLOOKUP("Base BPS",A1:CV300,82,FALSE)/HLOOKUP("Mins",A1:CV300,82,FALSE)* 90)</f>
      </c>
      <c r="BA82" s="21583">
        <f>IF(HLOOKUP("Mins",A1:CV300,82,FALSE)=0,0,HLOOKUP("PenTchs",A1:CV300,82,FALSE)/HLOOKUP("Mins",A1:CV300,82,FALSE)* 90)</f>
      </c>
      <c r="BB82" s="21584">
        <f>IF(HLOOKUP("Mins",A1:CV300,82,FALSE)=0,0,HLOOKUP("Shots",A1:CV300,82,FALSE)/HLOOKUP("Mins",A1:CV300,82,FALSE)* 90)</f>
      </c>
      <c r="BC82" s="21585">
        <f>IF(HLOOKUP("Mins",A1:CV300,82,FALSE)=0,0,HLOOKUP("SIB",A1:CV300,82,FALSE)/HLOOKUP("Mins",A1:CV300,82,FALSE)* 90)</f>
      </c>
      <c r="BD82" s="21586">
        <f>IF(HLOOKUP("Mins",A1:CV300,82,FALSE)=0,0,HLOOKUP("S6YD",A1:CV300,82,FALSE)/HLOOKUP("Mins",A1:CV300,82,FALSE)* 90)</f>
      </c>
      <c r="BE82" s="21587">
        <f>IF(HLOOKUP("Mins",A1:CV300,82,FALSE)=0,0,HLOOKUP("Headers",A1:CV300,82,FALSE)/HLOOKUP("Mins",A1:CV300,82,FALSE)* 90)</f>
      </c>
      <c r="BF82" s="21588">
        <f>IF(HLOOKUP("Mins",A1:CV300,82,FALSE)=0,0,HLOOKUP("SOT",A1:CV300,82,FALSE)/HLOOKUP("Mins",A1:CV300,82,FALSE)* 90)</f>
      </c>
      <c r="BG82" s="21589">
        <f>IF(HLOOKUP("Mins",A1:CV300,82,FALSE)=0,0,HLOOKUP("As",A1:CV300,82,FALSE)/HLOOKUP("Mins",A1:CV300,82,FALSE)* 90)</f>
      </c>
      <c r="BH82" s="21590">
        <f>IF(HLOOKUP("Mins",A1:CV300,82,FALSE)=0,0,HLOOKUP("FPL As",A1:CV300,82,FALSE)/HLOOKUP("Mins",A1:CV300,82,FALSE)* 90)</f>
      </c>
      <c r="BI82" s="21591">
        <f>IF(HLOOKUP("Mins",A1:CV300,82,FALSE)=0,0,HLOOKUP("BC Created",A1:CV300,82,FALSE)/HLOOKUP("Mins",A1:CV300,82,FALSE)* 90)</f>
      </c>
      <c r="BJ82" s="21592">
        <f>IF(HLOOKUP("Mins",A1:CV300,82,FALSE)=0,0,HLOOKUP("KP",A1:CV300,82,FALSE)/HLOOKUP("Mins",A1:CV300,82,FALSE)* 90)</f>
      </c>
      <c r="BK82" s="21593">
        <f>IF(HLOOKUP("Mins",A1:CV300,82,FALSE)=0,0,HLOOKUP("BC",A1:CV300,82,FALSE)/HLOOKUP("Mins",A1:CV300,82,FALSE)* 90)</f>
      </c>
      <c r="BL82" s="21594">
        <f>IF(HLOOKUP("Mins",A1:CV300,82,FALSE)=0,0,HLOOKUP("BC Miss",A1:CV300,82,FALSE)/HLOOKUP("Mins",A1:CV300,82,FALSE)* 90)</f>
      </c>
      <c r="BM82" s="21595">
        <f>IF(HLOOKUP("Mins",A1:CV300,82,FALSE)=0,0,HLOOKUP("Gs - BC",A1:CV300,82,FALSE)/HLOOKUP("Mins",A1:CV300,82,FALSE)* 90)</f>
      </c>
      <c r="BN82" s="21596">
        <f>IF(HLOOKUP("Mins",A1:CV300,82,FALSE)=0,0,HLOOKUP("GIB",A1:CV300,82,FALSE)/HLOOKUP("Mins",A1:CV300,82,FALSE)* 90)</f>
      </c>
      <c r="BO82" s="21597">
        <f>IF(HLOOKUP("Mins",A1:CV300,82,FALSE)=0,0,HLOOKUP("Gs - Open",A1:CV300,82,FALSE)/HLOOKUP("Mins",A1:CV300,82,FALSE)* 90)</f>
      </c>
      <c r="BP82" s="21598">
        <f>IF(HLOOKUP("Mins",A1:CV300,82,FALSE)=0,0,HLOOKUP("ICT Index",A1:CV300,82,FALSE)/HLOOKUP("Mins",A1:CV300,82,FALSE)* 90)</f>
      </c>
      <c r="BQ82" s="21599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1600">
        <f>0.0885*HLOOKUP("KP/90",A1:CV300,82,FALSE)</f>
      </c>
      <c r="BS82" s="21601">
        <f>5*HLOOKUP("xG/90",A1:CV300,82,FALSE)+3*HLOOKUP("xA/90",A1:CV300,82,FALSE)</f>
      </c>
      <c r="BT82" s="21602">
        <f>HLOOKUP("xPts/90",A1:CV300,82,FALSE)-(5*0.75*(HLOOKUP("PK Gs",A1:CV300,82,FALSE)+HLOOKUP("PK Miss",A1:CV300,82,FALSE))*90/HLOOKUP("Mins",A1:CV300,82,FALSE))</f>
      </c>
      <c r="BU82" s="21603">
        <f>IF(HLOOKUP("Mins",A1:CV300,82,FALSE)=0,0,HLOOKUP("fsXG",A1:CV300,82,FALSE)/HLOOKUP("Mins",A1:CV300,82,FALSE)* 90)</f>
      </c>
      <c r="BV82" s="21604">
        <f>IF(HLOOKUP("Mins",A1:CV300,82,FALSE)=0,0,HLOOKUP("fsXA",A1:CV300,82,FALSE)/HLOOKUP("Mins",A1:CV300,82,FALSE)* 90)</f>
      </c>
      <c r="BW82" s="21605">
        <f>5*HLOOKUP("fsXG/90",A1:CV300,82,FALSE)+3*HLOOKUP("fsXA/90",A1:CV300,82,FALSE)</f>
      </c>
      <c r="BX82" t="n" s="21606">
        <v>0.15822482109069824</v>
      </c>
      <c r="BY82" t="n" s="21607">
        <v>0.18018661439418793</v>
      </c>
      <c r="BZ82" s="21608">
        <f>5*HLOOKUP("uXG/90",A1:CV300,82,FALSE)+3*HLOOKUP("uXA/90",A1:CV300,82,FALSE)</f>
      </c>
    </row>
    <row r="83">
      <c r="A83" t="s" s="21609">
        <v>374</v>
      </c>
      <c r="B83" t="s" s="21610">
        <v>82</v>
      </c>
      <c r="C83" t="n" s="21611">
        <v>5.0</v>
      </c>
      <c r="D83" t="n" s="21612">
        <v>380.0</v>
      </c>
      <c r="E83" t="n" s="21613">
        <v>5.0</v>
      </c>
      <c r="F83" t="n" s="21614">
        <v>62.0</v>
      </c>
      <c r="G83" t="n" s="21615">
        <v>0.0</v>
      </c>
      <c r="H83" t="n" s="21616">
        <v>5.0</v>
      </c>
      <c r="I83" t="n" s="21617">
        <v>328.0</v>
      </c>
      <c r="J83" s="21618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1619">
        <v>0.0</v>
      </c>
      <c r="L83" t="n" s="21620">
        <v>8.0</v>
      </c>
      <c r="M83" t="n" s="21621">
        <v>4.0</v>
      </c>
      <c r="N83" t="n" s="21622">
        <v>3.0</v>
      </c>
      <c r="O83" t="n" s="21623">
        <v>3.0</v>
      </c>
      <c r="P83" s="21624">
        <f>IF(HLOOKUP("Shots",A1:CV300,83,FALSE)=0,0,HLOOKUP("SIB",A1:CV300,83,FALSE)/HLOOKUP("Shots",A1:CV300,83,FALSE))</f>
      </c>
      <c r="Q83" t="n" s="21625">
        <v>1.0</v>
      </c>
      <c r="R83" s="21626">
        <f>IF(HLOOKUP("Shots",A1:CV300,83,FALSE)=0,0,HLOOKUP("S6YD",A1:CV300,83,FALSE)/HLOOKUP("Shots",A1:CV300,83,FALSE))</f>
      </c>
      <c r="S83" t="n" s="21627">
        <v>3.0</v>
      </c>
      <c r="T83" s="21628">
        <f>IF(HLOOKUP("Shots",A1:CV300,83,FALSE)=0,0,HLOOKUP("Headers",A1:CV300,83,FALSE)/HLOOKUP("Shots",A1:CV300,83,FALSE))</f>
      </c>
      <c r="U83" t="n" s="21629">
        <v>0.0</v>
      </c>
      <c r="V83" s="21630">
        <f>IF(HLOOKUP("Shots",A1:CV300,83,FALSE)=0,0,HLOOKUP("SOT",A1:CV300,83,FALSE)/HLOOKUP("Shots",A1:CV300,83,FALSE))</f>
      </c>
      <c r="W83" s="21631">
        <f>IF(HLOOKUP("Shots",A1:CV300,83,FALSE)=0,0,HLOOKUP("Gs",A1:CV300,83,FALSE)/HLOOKUP("Shots",A1:CV300,83,FALSE))</f>
      </c>
      <c r="X83" t="n" s="21632">
        <v>1.0</v>
      </c>
      <c r="Y83" t="n" s="21633">
        <v>1.0</v>
      </c>
      <c r="Z83" t="n" s="21634">
        <v>2.0</v>
      </c>
      <c r="AA83" s="21635">
        <f>IF(HLOOKUP("KP",A1:CV300,83,FALSE)=0,0,HLOOKUP("As",A1:CV300,83,FALSE)/HLOOKUP("KP",A1:CV300,83,FALSE))</f>
      </c>
      <c r="AB83" s="21636"/>
      <c r="AC83" t="n" s="21637">
        <v>20.0</v>
      </c>
      <c r="AD83" t="n" s="21638">
        <v>0.0</v>
      </c>
      <c r="AE83" t="n" s="21639">
        <v>0.0</v>
      </c>
      <c r="AF83" t="n" s="21640">
        <v>0.0</v>
      </c>
      <c r="AG83" s="21641">
        <f>IF(HLOOKUP("BC",A1:CV300,83,FALSE)=0,0,HLOOKUP("Gs - BC",A1:CV300,83,FALSE)/HLOOKUP("BC",A1:CV300,83,FALSE))</f>
      </c>
      <c r="AH83" s="21642">
        <f>HLOOKUP("BC",A1:CV300,83,FALSE) - HLOOKUP("BC Miss",A1:CV300,83,FALSE)</f>
      </c>
      <c r="AI83" s="21643">
        <f>IF(HLOOKUP("Gs",A1:CV300,83,FALSE)=0,0,HLOOKUP("Gs - BC",A1:CV300,83,FALSE)/HLOOKUP("Gs",A1:CV300,83,FALSE))</f>
      </c>
      <c r="AJ83" t="n" s="21644">
        <v>0.0</v>
      </c>
      <c r="AK83" t="n" s="21645">
        <v>0.0</v>
      </c>
      <c r="AL83" s="21646">
        <f>HLOOKUP("BC",A1:CV300,83,FALSE) - (HLOOKUP("PK Gs",A1:CV300,83,FALSE) + HLOOKUP("PK Miss",A1:CV300,83,FALSE))</f>
      </c>
      <c r="AM83" s="21647">
        <f>HLOOKUP("BC Miss",A1:CV300,83,FALSE) - HLOOKUP("PK Miss",A1:CV300,83,FALSE)</f>
      </c>
      <c r="AN83" s="21648">
        <f>IF(HLOOKUP("BC - Open",A1:CV300,83,FALSE)=0,0,HLOOKUP("BC - Open Miss",A1:CV300,83,FALSE)/HLOOKUP("BC - Open",A1:CV300,83,FALSE))</f>
      </c>
      <c r="AO83" t="n" s="21649">
        <v>0.0</v>
      </c>
      <c r="AP83" s="21650">
        <f>IF(HLOOKUP("Gs",A1:CV300,83,FALSE)=0,0,HLOOKUP("GIB",A1:CV300,83,FALSE)/HLOOKUP("Gs",A1:CV300,83,FALSE))</f>
      </c>
      <c r="AQ83" t="n" s="21651">
        <v>0.0</v>
      </c>
      <c r="AR83" s="21652">
        <f>IF(HLOOKUP("Gs",A1:CV300,83,FALSE)=0,0,HLOOKUP("Gs - Open",A1:CV300,83,FALSE)/HLOOKUP("Gs",A1:CV300,83,FALSE))</f>
      </c>
      <c r="AS83" t="n" s="21653">
        <v>0.4</v>
      </c>
      <c r="AT83" t="n" s="21654">
        <v>0.06</v>
      </c>
      <c r="AU83" s="21655">
        <f>IF(HLOOKUP("Mins",A1:CV300,83,FALSE)=0,0,HLOOKUP("Pts",A1:CV300,83,FALSE)/HLOOKUP("Mins",A1:CV300,83,FALSE)* 90)</f>
      </c>
      <c r="AV83" s="21656">
        <f>IF(HLOOKUP("Apps",A1:CV300,83,FALSE)=0,0,HLOOKUP("Pts",A1:CV300,83,FALSE)/HLOOKUP("Apps",A1:CV300,83,FALSE)* 1)</f>
      </c>
      <c r="AW83" s="21657">
        <f>IF(HLOOKUP("Mins",A1:CV300,83,FALSE)=0,0,HLOOKUP("Gs",A1:CV300,83,FALSE)/HLOOKUP("Mins",A1:CV300,83,FALSE)* 90)</f>
      </c>
      <c r="AX83" s="21658">
        <f>IF(HLOOKUP("Mins",A1:CV300,83,FALSE)=0,0,HLOOKUP("Bonus",A1:CV300,83,FALSE)/HLOOKUP("Mins",A1:CV300,83,FALSE)* 90)</f>
      </c>
      <c r="AY83" s="21659">
        <f>IF(HLOOKUP("Mins",A1:CV300,83,FALSE)=0,0,HLOOKUP("BPS",A1:CV300,83,FALSE)/HLOOKUP("Mins",A1:CV300,83,FALSE)* 90)</f>
      </c>
      <c r="AZ83" s="21660">
        <f>IF(HLOOKUP("Mins",A1:CV300,83,FALSE)=0,0,HLOOKUP("Base BPS",A1:CV300,83,FALSE)/HLOOKUP("Mins",A1:CV300,83,FALSE)* 90)</f>
      </c>
      <c r="BA83" s="21661">
        <f>IF(HLOOKUP("Mins",A1:CV300,83,FALSE)=0,0,HLOOKUP("PenTchs",A1:CV300,83,FALSE)/HLOOKUP("Mins",A1:CV300,83,FALSE)* 90)</f>
      </c>
      <c r="BB83" s="21662">
        <f>IF(HLOOKUP("Mins",A1:CV300,83,FALSE)=0,0,HLOOKUP("Shots",A1:CV300,83,FALSE)/HLOOKUP("Mins",A1:CV300,83,FALSE)* 90)</f>
      </c>
      <c r="BC83" s="21663">
        <f>IF(HLOOKUP("Mins",A1:CV300,83,FALSE)=0,0,HLOOKUP("SIB",A1:CV300,83,FALSE)/HLOOKUP("Mins",A1:CV300,83,FALSE)* 90)</f>
      </c>
      <c r="BD83" s="21664">
        <f>IF(HLOOKUP("Mins",A1:CV300,83,FALSE)=0,0,HLOOKUP("S6YD",A1:CV300,83,FALSE)/HLOOKUP("Mins",A1:CV300,83,FALSE)* 90)</f>
      </c>
      <c r="BE83" s="21665">
        <f>IF(HLOOKUP("Mins",A1:CV300,83,FALSE)=0,0,HLOOKUP("Headers",A1:CV300,83,FALSE)/HLOOKUP("Mins",A1:CV300,83,FALSE)* 90)</f>
      </c>
      <c r="BF83" s="21666">
        <f>IF(HLOOKUP("Mins",A1:CV300,83,FALSE)=0,0,HLOOKUP("SOT",A1:CV300,83,FALSE)/HLOOKUP("Mins",A1:CV300,83,FALSE)* 90)</f>
      </c>
      <c r="BG83" s="21667">
        <f>IF(HLOOKUP("Mins",A1:CV300,83,FALSE)=0,0,HLOOKUP("As",A1:CV300,83,FALSE)/HLOOKUP("Mins",A1:CV300,83,FALSE)* 90)</f>
      </c>
      <c r="BH83" s="21668">
        <f>IF(HLOOKUP("Mins",A1:CV300,83,FALSE)=0,0,HLOOKUP("FPL As",A1:CV300,83,FALSE)/HLOOKUP("Mins",A1:CV300,83,FALSE)* 90)</f>
      </c>
      <c r="BI83" s="21669">
        <f>IF(HLOOKUP("Mins",A1:CV300,83,FALSE)=0,0,HLOOKUP("BC Created",A1:CV300,83,FALSE)/HLOOKUP("Mins",A1:CV300,83,FALSE)* 90)</f>
      </c>
      <c r="BJ83" s="21670">
        <f>IF(HLOOKUP("Mins",A1:CV300,83,FALSE)=0,0,HLOOKUP("KP",A1:CV300,83,FALSE)/HLOOKUP("Mins",A1:CV300,83,FALSE)* 90)</f>
      </c>
      <c r="BK83" s="21671">
        <f>IF(HLOOKUP("Mins",A1:CV300,83,FALSE)=0,0,HLOOKUP("BC",A1:CV300,83,FALSE)/HLOOKUP("Mins",A1:CV300,83,FALSE)* 90)</f>
      </c>
      <c r="BL83" s="21672">
        <f>IF(HLOOKUP("Mins",A1:CV300,83,FALSE)=0,0,HLOOKUP("BC Miss",A1:CV300,83,FALSE)/HLOOKUP("Mins",A1:CV300,83,FALSE)* 90)</f>
      </c>
      <c r="BM83" s="21673">
        <f>IF(HLOOKUP("Mins",A1:CV300,83,FALSE)=0,0,HLOOKUP("Gs - BC",A1:CV300,83,FALSE)/HLOOKUP("Mins",A1:CV300,83,FALSE)* 90)</f>
      </c>
      <c r="BN83" s="21674">
        <f>IF(HLOOKUP("Mins",A1:CV300,83,FALSE)=0,0,HLOOKUP("GIB",A1:CV300,83,FALSE)/HLOOKUP("Mins",A1:CV300,83,FALSE)* 90)</f>
      </c>
      <c r="BO83" s="21675">
        <f>IF(HLOOKUP("Mins",A1:CV300,83,FALSE)=0,0,HLOOKUP("Gs - Open",A1:CV300,83,FALSE)/HLOOKUP("Mins",A1:CV300,83,FALSE)* 90)</f>
      </c>
      <c r="BP83" s="21676">
        <f>IF(HLOOKUP("Mins",A1:CV300,83,FALSE)=0,0,HLOOKUP("ICT Index",A1:CV300,83,FALSE)/HLOOKUP("Mins",A1:CV300,83,FALSE)* 90)</f>
      </c>
      <c r="BQ83" s="21677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1678">
        <f>0.0885*HLOOKUP("KP/90",A1:CV300,83,FALSE)</f>
      </c>
      <c r="BS83" s="21679">
        <f>5*HLOOKUP("xG/90",A1:CV300,83,FALSE)+3*HLOOKUP("xA/90",A1:CV300,83,FALSE)</f>
      </c>
      <c r="BT83" s="21680">
        <f>HLOOKUP("xPts/90",A1:CV300,83,FALSE)-(5*0.75*(HLOOKUP("PK Gs",A1:CV300,83,FALSE)+HLOOKUP("PK Miss",A1:CV300,83,FALSE))*90/HLOOKUP("Mins",A1:CV300,83,FALSE))</f>
      </c>
      <c r="BU83" s="21681">
        <f>IF(HLOOKUP("Mins",A1:CV300,83,FALSE)=0,0,HLOOKUP("fsXG",A1:CV300,83,FALSE)/HLOOKUP("Mins",A1:CV300,83,FALSE)* 90)</f>
      </c>
      <c r="BV83" s="21682">
        <f>IF(HLOOKUP("Mins",A1:CV300,83,FALSE)=0,0,HLOOKUP("fsXA",A1:CV300,83,FALSE)/HLOOKUP("Mins",A1:CV300,83,FALSE)* 90)</f>
      </c>
      <c r="BW83" s="21683">
        <f>5*HLOOKUP("fsXG/90",A1:CV300,83,FALSE)+3*HLOOKUP("fsXA/90",A1:CV300,83,FALSE)</f>
      </c>
      <c r="BX83" t="n" s="21684">
        <v>0.062599778175354</v>
      </c>
      <c r="BY83" t="n" s="21685">
        <v>0.024495389312505722</v>
      </c>
      <c r="BZ83" s="21686">
        <f>5*HLOOKUP("uXG/90",A1:CV300,83,FALSE)+3*HLOOKUP("uXA/90",A1:CV300,83,FALSE)</f>
      </c>
    </row>
    <row r="84">
      <c r="A84" t="s" s="21687">
        <v>375</v>
      </c>
      <c r="B84" t="s" s="21688">
        <v>82</v>
      </c>
      <c r="C84" t="n" s="21689">
        <v>6.300000190734863</v>
      </c>
      <c r="D84" t="n" s="21690">
        <v>360.0</v>
      </c>
      <c r="E84" t="n" s="21691">
        <v>5.0</v>
      </c>
      <c r="F84" t="n" s="21692">
        <v>76.0</v>
      </c>
      <c r="G84" t="n" s="21693">
        <v>0.0</v>
      </c>
      <c r="H84" t="n" s="21694">
        <v>4.0</v>
      </c>
      <c r="I84" t="n" s="21695">
        <v>317.0</v>
      </c>
      <c r="J84" s="21696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1697">
        <v>0.0</v>
      </c>
      <c r="L84" t="n" s="21698">
        <v>8.0</v>
      </c>
      <c r="M84" t="n" s="21699">
        <v>2.0</v>
      </c>
      <c r="N84" t="n" s="21700">
        <v>4.0</v>
      </c>
      <c r="O84" t="n" s="21701">
        <v>0.0</v>
      </c>
      <c r="P84" s="21702">
        <f>IF(HLOOKUP("Shots",A1:CV300,84,FALSE)=0,0,HLOOKUP("SIB",A1:CV300,84,FALSE)/HLOOKUP("Shots",A1:CV300,84,FALSE))</f>
      </c>
      <c r="Q84" t="n" s="21703">
        <v>0.0</v>
      </c>
      <c r="R84" s="21704">
        <f>IF(HLOOKUP("Shots",A1:CV300,84,FALSE)=0,0,HLOOKUP("S6YD",A1:CV300,84,FALSE)/HLOOKUP("Shots",A1:CV300,84,FALSE))</f>
      </c>
      <c r="S84" t="n" s="21705">
        <v>0.0</v>
      </c>
      <c r="T84" s="21706">
        <f>IF(HLOOKUP("Shots",A1:CV300,84,FALSE)=0,0,HLOOKUP("Headers",A1:CV300,84,FALSE)/HLOOKUP("Shots",A1:CV300,84,FALSE))</f>
      </c>
      <c r="U84" t="n" s="21707">
        <v>2.0</v>
      </c>
      <c r="V84" s="21708">
        <f>IF(HLOOKUP("Shots",A1:CV300,84,FALSE)=0,0,HLOOKUP("SOT",A1:CV300,84,FALSE)/HLOOKUP("Shots",A1:CV300,84,FALSE))</f>
      </c>
      <c r="W84" s="21709">
        <f>IF(HLOOKUP("Shots",A1:CV300,84,FALSE)=0,0,HLOOKUP("Gs",A1:CV300,84,FALSE)/HLOOKUP("Shots",A1:CV300,84,FALSE))</f>
      </c>
      <c r="X84" t="n" s="21710">
        <v>0.0</v>
      </c>
      <c r="Y84" t="n" s="21711">
        <v>3.0</v>
      </c>
      <c r="Z84" t="n" s="21712">
        <v>5.0</v>
      </c>
      <c r="AA84" s="21713">
        <f>IF(HLOOKUP("KP",A1:CV300,84,FALSE)=0,0,HLOOKUP("As",A1:CV300,84,FALSE)/HLOOKUP("KP",A1:CV300,84,FALSE))</f>
      </c>
      <c r="AB84" s="21714"/>
      <c r="AC84" t="n" s="21715">
        <v>0.0</v>
      </c>
      <c r="AD84" t="n" s="21716">
        <v>0.0</v>
      </c>
      <c r="AE84" t="n" s="21717">
        <v>0.0</v>
      </c>
      <c r="AF84" t="n" s="21718">
        <v>0.0</v>
      </c>
      <c r="AG84" s="21719">
        <f>IF(HLOOKUP("BC",A1:CV300,84,FALSE)=0,0,HLOOKUP("Gs - BC",A1:CV300,84,FALSE)/HLOOKUP("BC",A1:CV300,84,FALSE))</f>
      </c>
      <c r="AH84" s="21720">
        <f>HLOOKUP("BC",A1:CV300,84,FALSE) - HLOOKUP("BC Miss",A1:CV300,84,FALSE)</f>
      </c>
      <c r="AI84" s="21721">
        <f>IF(HLOOKUP("Gs",A1:CV300,84,FALSE)=0,0,HLOOKUP("Gs - BC",A1:CV300,84,FALSE)/HLOOKUP("Gs",A1:CV300,84,FALSE))</f>
      </c>
      <c r="AJ84" t="n" s="21722">
        <v>0.0</v>
      </c>
      <c r="AK84" t="n" s="21723">
        <v>0.0</v>
      </c>
      <c r="AL84" s="21724">
        <f>HLOOKUP("BC",A1:CV300,84,FALSE) - (HLOOKUP("PK Gs",A1:CV300,84,FALSE) + HLOOKUP("PK Miss",A1:CV300,84,FALSE))</f>
      </c>
      <c r="AM84" s="21725">
        <f>HLOOKUP("BC Miss",A1:CV300,84,FALSE) - HLOOKUP("PK Miss",A1:CV300,84,FALSE)</f>
      </c>
      <c r="AN84" s="21726">
        <f>IF(HLOOKUP("BC - Open",A1:CV300,84,FALSE)=0,0,HLOOKUP("BC - Open Miss",A1:CV300,84,FALSE)/HLOOKUP("BC - Open",A1:CV300,84,FALSE))</f>
      </c>
      <c r="AO84" t="n" s="21727">
        <v>0.0</v>
      </c>
      <c r="AP84" s="21728">
        <f>IF(HLOOKUP("Gs",A1:CV300,84,FALSE)=0,0,HLOOKUP("GIB",A1:CV300,84,FALSE)/HLOOKUP("Gs",A1:CV300,84,FALSE))</f>
      </c>
      <c r="AQ84" t="n" s="21729">
        <v>0.0</v>
      </c>
      <c r="AR84" s="21730">
        <f>IF(HLOOKUP("Gs",A1:CV300,84,FALSE)=0,0,HLOOKUP("Gs - Open",A1:CV300,84,FALSE)/HLOOKUP("Gs",A1:CV300,84,FALSE))</f>
      </c>
      <c r="AS84" t="n" s="21731">
        <v>0.11</v>
      </c>
      <c r="AT84" t="n" s="21732">
        <v>0.26</v>
      </c>
      <c r="AU84" s="21733">
        <f>IF(HLOOKUP("Mins",A1:CV300,84,FALSE)=0,0,HLOOKUP("Pts",A1:CV300,84,FALSE)/HLOOKUP("Mins",A1:CV300,84,FALSE)* 90)</f>
      </c>
      <c r="AV84" s="21734">
        <f>IF(HLOOKUP("Apps",A1:CV300,84,FALSE)=0,0,HLOOKUP("Pts",A1:CV300,84,FALSE)/HLOOKUP("Apps",A1:CV300,84,FALSE)* 1)</f>
      </c>
      <c r="AW84" s="21735">
        <f>IF(HLOOKUP("Mins",A1:CV300,84,FALSE)=0,0,HLOOKUP("Gs",A1:CV300,84,FALSE)/HLOOKUP("Mins",A1:CV300,84,FALSE)* 90)</f>
      </c>
      <c r="AX84" s="21736">
        <f>IF(HLOOKUP("Mins",A1:CV300,84,FALSE)=0,0,HLOOKUP("Bonus",A1:CV300,84,FALSE)/HLOOKUP("Mins",A1:CV300,84,FALSE)* 90)</f>
      </c>
      <c r="AY84" s="21737">
        <f>IF(HLOOKUP("Mins",A1:CV300,84,FALSE)=0,0,HLOOKUP("BPS",A1:CV300,84,FALSE)/HLOOKUP("Mins",A1:CV300,84,FALSE)* 90)</f>
      </c>
      <c r="AZ84" s="21738">
        <f>IF(HLOOKUP("Mins",A1:CV300,84,FALSE)=0,0,HLOOKUP("Base BPS",A1:CV300,84,FALSE)/HLOOKUP("Mins",A1:CV300,84,FALSE)* 90)</f>
      </c>
      <c r="BA84" s="21739">
        <f>IF(HLOOKUP("Mins",A1:CV300,84,FALSE)=0,0,HLOOKUP("PenTchs",A1:CV300,84,FALSE)/HLOOKUP("Mins",A1:CV300,84,FALSE)* 90)</f>
      </c>
      <c r="BB84" s="21740">
        <f>IF(HLOOKUP("Mins",A1:CV300,84,FALSE)=0,0,HLOOKUP("Shots",A1:CV300,84,FALSE)/HLOOKUP("Mins",A1:CV300,84,FALSE)* 90)</f>
      </c>
      <c r="BC84" s="21741">
        <f>IF(HLOOKUP("Mins",A1:CV300,84,FALSE)=0,0,HLOOKUP("SIB",A1:CV300,84,FALSE)/HLOOKUP("Mins",A1:CV300,84,FALSE)* 90)</f>
      </c>
      <c r="BD84" s="21742">
        <f>IF(HLOOKUP("Mins",A1:CV300,84,FALSE)=0,0,HLOOKUP("S6YD",A1:CV300,84,FALSE)/HLOOKUP("Mins",A1:CV300,84,FALSE)* 90)</f>
      </c>
      <c r="BE84" s="21743">
        <f>IF(HLOOKUP("Mins",A1:CV300,84,FALSE)=0,0,HLOOKUP("Headers",A1:CV300,84,FALSE)/HLOOKUP("Mins",A1:CV300,84,FALSE)* 90)</f>
      </c>
      <c r="BF84" s="21744">
        <f>IF(HLOOKUP("Mins",A1:CV300,84,FALSE)=0,0,HLOOKUP("SOT",A1:CV300,84,FALSE)/HLOOKUP("Mins",A1:CV300,84,FALSE)* 90)</f>
      </c>
      <c r="BG84" s="21745">
        <f>IF(HLOOKUP("Mins",A1:CV300,84,FALSE)=0,0,HLOOKUP("As",A1:CV300,84,FALSE)/HLOOKUP("Mins",A1:CV300,84,FALSE)* 90)</f>
      </c>
      <c r="BH84" s="21746">
        <f>IF(HLOOKUP("Mins",A1:CV300,84,FALSE)=0,0,HLOOKUP("FPL As",A1:CV300,84,FALSE)/HLOOKUP("Mins",A1:CV300,84,FALSE)* 90)</f>
      </c>
      <c r="BI84" s="21747">
        <f>IF(HLOOKUP("Mins",A1:CV300,84,FALSE)=0,0,HLOOKUP("BC Created",A1:CV300,84,FALSE)/HLOOKUP("Mins",A1:CV300,84,FALSE)* 90)</f>
      </c>
      <c r="BJ84" s="21748">
        <f>IF(HLOOKUP("Mins",A1:CV300,84,FALSE)=0,0,HLOOKUP("KP",A1:CV300,84,FALSE)/HLOOKUP("Mins",A1:CV300,84,FALSE)* 90)</f>
      </c>
      <c r="BK84" s="21749">
        <f>IF(HLOOKUP("Mins",A1:CV300,84,FALSE)=0,0,HLOOKUP("BC",A1:CV300,84,FALSE)/HLOOKUP("Mins",A1:CV300,84,FALSE)* 90)</f>
      </c>
      <c r="BL84" s="21750">
        <f>IF(HLOOKUP("Mins",A1:CV300,84,FALSE)=0,0,HLOOKUP("BC Miss",A1:CV300,84,FALSE)/HLOOKUP("Mins",A1:CV300,84,FALSE)* 90)</f>
      </c>
      <c r="BM84" s="21751">
        <f>IF(HLOOKUP("Mins",A1:CV300,84,FALSE)=0,0,HLOOKUP("Gs - BC",A1:CV300,84,FALSE)/HLOOKUP("Mins",A1:CV300,84,FALSE)* 90)</f>
      </c>
      <c r="BN84" s="21752">
        <f>IF(HLOOKUP("Mins",A1:CV300,84,FALSE)=0,0,HLOOKUP("GIB",A1:CV300,84,FALSE)/HLOOKUP("Mins",A1:CV300,84,FALSE)* 90)</f>
      </c>
      <c r="BO84" s="21753">
        <f>IF(HLOOKUP("Mins",A1:CV300,84,FALSE)=0,0,HLOOKUP("Gs - Open",A1:CV300,84,FALSE)/HLOOKUP("Mins",A1:CV300,84,FALSE)* 90)</f>
      </c>
      <c r="BP84" s="21754">
        <f>IF(HLOOKUP("Mins",A1:CV300,84,FALSE)=0,0,HLOOKUP("ICT Index",A1:CV300,84,FALSE)/HLOOKUP("Mins",A1:CV300,84,FALSE)* 90)</f>
      </c>
      <c r="BQ84" s="21755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1756">
        <f>0.0885*HLOOKUP("KP/90",A1:CV300,84,FALSE)</f>
      </c>
      <c r="BS84" s="21757">
        <f>5*HLOOKUP("xG/90",A1:CV300,84,FALSE)+3*HLOOKUP("xA/90",A1:CV300,84,FALSE)</f>
      </c>
      <c r="BT84" s="21758">
        <f>HLOOKUP("xPts/90",A1:CV300,84,FALSE)-(5*0.75*(HLOOKUP("PK Gs",A1:CV300,84,FALSE)+HLOOKUP("PK Miss",A1:CV300,84,FALSE))*90/HLOOKUP("Mins",A1:CV300,84,FALSE))</f>
      </c>
      <c r="BU84" s="21759">
        <f>IF(HLOOKUP("Mins",A1:CV300,84,FALSE)=0,0,HLOOKUP("fsXG",A1:CV300,84,FALSE)/HLOOKUP("Mins",A1:CV300,84,FALSE)* 90)</f>
      </c>
      <c r="BV84" s="21760">
        <f>IF(HLOOKUP("Mins",A1:CV300,84,FALSE)=0,0,HLOOKUP("fsXA",A1:CV300,84,FALSE)/HLOOKUP("Mins",A1:CV300,84,FALSE)* 90)</f>
      </c>
      <c r="BW84" s="21761">
        <f>5*HLOOKUP("fsXG/90",A1:CV300,84,FALSE)+3*HLOOKUP("fsXA/90",A1:CV300,84,FALSE)</f>
      </c>
      <c r="BX84" t="n" s="21762">
        <v>0.02878784015774727</v>
      </c>
      <c r="BY84" t="n" s="21763">
        <v>0.12225368618965149</v>
      </c>
      <c r="BZ84" s="21764">
        <f>5*HLOOKUP("uXG/90",A1:CV300,84,FALSE)+3*HLOOKUP("uXA/90",A1:CV300,84,FALSE)</f>
      </c>
    </row>
    <row r="85">
      <c r="A85" t="s" s="21765">
        <v>376</v>
      </c>
      <c r="B85" t="s" s="21766">
        <v>105</v>
      </c>
      <c r="C85" t="n" s="21767">
        <v>11.800000190734863</v>
      </c>
      <c r="D85" t="n" s="21768">
        <v>358.0</v>
      </c>
      <c r="E85" t="n" s="21769">
        <v>5.0</v>
      </c>
      <c r="F85" t="n" s="21770">
        <v>110.0</v>
      </c>
      <c r="G85" t="n" s="21771">
        <v>3.0</v>
      </c>
      <c r="H85" t="n" s="21772">
        <v>9.0</v>
      </c>
      <c r="I85" t="n" s="21773">
        <v>366.0</v>
      </c>
      <c r="J85" s="21774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1775">
        <v>0.0</v>
      </c>
      <c r="L85" t="n" s="21776">
        <v>7.0</v>
      </c>
      <c r="M85" t="n" s="21777">
        <v>27.0</v>
      </c>
      <c r="N85" t="n" s="21778">
        <v>12.0</v>
      </c>
      <c r="O85" t="n" s="21779">
        <v>9.0</v>
      </c>
      <c r="P85" s="21780">
        <f>IF(HLOOKUP("Shots",A1:CV300,85,FALSE)=0,0,HLOOKUP("SIB",A1:CV300,85,FALSE)/HLOOKUP("Shots",A1:CV300,85,FALSE))</f>
      </c>
      <c r="Q85" t="n" s="21781">
        <v>2.0</v>
      </c>
      <c r="R85" s="21782">
        <f>IF(HLOOKUP("Shots",A1:CV300,85,FALSE)=0,0,HLOOKUP("S6YD",A1:CV300,85,FALSE)/HLOOKUP("Shots",A1:CV300,85,FALSE))</f>
      </c>
      <c r="S85" t="n" s="21783">
        <v>0.0</v>
      </c>
      <c r="T85" s="21784">
        <f>IF(HLOOKUP("Shots",A1:CV300,85,FALSE)=0,0,HLOOKUP("Headers",A1:CV300,85,FALSE)/HLOOKUP("Shots",A1:CV300,85,FALSE))</f>
      </c>
      <c r="U85" t="n" s="21785">
        <v>5.0</v>
      </c>
      <c r="V85" s="21786">
        <f>IF(HLOOKUP("Shots",A1:CV300,85,FALSE)=0,0,HLOOKUP("SOT",A1:CV300,85,FALSE)/HLOOKUP("Shots",A1:CV300,85,FALSE))</f>
      </c>
      <c r="W85" s="21787">
        <f>IF(HLOOKUP("Shots",A1:CV300,85,FALSE)=0,0,HLOOKUP("Gs",A1:CV300,85,FALSE)/HLOOKUP("Shots",A1:CV300,85,FALSE))</f>
      </c>
      <c r="X85" t="n" s="21788">
        <v>0.0</v>
      </c>
      <c r="Y85" t="n" s="21789">
        <v>2.0</v>
      </c>
      <c r="Z85" t="n" s="21790">
        <v>7.0</v>
      </c>
      <c r="AA85" s="21791">
        <f>IF(HLOOKUP("KP",A1:CV300,85,FALSE)=0,0,HLOOKUP("As",A1:CV300,85,FALSE)/HLOOKUP("KP",A1:CV300,85,FALSE))</f>
      </c>
      <c r="AB85" s="21792"/>
      <c r="AC85" t="n" s="21793">
        <v>40.0</v>
      </c>
      <c r="AD85" t="n" s="21794">
        <v>0.0</v>
      </c>
      <c r="AE85" t="n" s="21795">
        <v>4.0</v>
      </c>
      <c r="AF85" t="n" s="21796">
        <v>1.0</v>
      </c>
      <c r="AG85" s="21797">
        <f>IF(HLOOKUP("BC",A1:CV300,85,FALSE)=0,0,HLOOKUP("Gs - BC",A1:CV300,85,FALSE)/HLOOKUP("BC",A1:CV300,85,FALSE))</f>
      </c>
      <c r="AH85" s="21798">
        <f>HLOOKUP("BC",A1:CV300,85,FALSE) - HLOOKUP("BC Miss",A1:CV300,85,FALSE)</f>
      </c>
      <c r="AI85" s="21799">
        <f>IF(HLOOKUP("Gs",A1:CV300,85,FALSE)=0,0,HLOOKUP("Gs - BC",A1:CV300,85,FALSE)/HLOOKUP("Gs",A1:CV300,85,FALSE))</f>
      </c>
      <c r="AJ85" t="n" s="21800">
        <v>0.0</v>
      </c>
      <c r="AK85" t="n" s="21801">
        <v>1.0</v>
      </c>
      <c r="AL85" s="21802">
        <f>HLOOKUP("BC",A1:CV300,85,FALSE) - (HLOOKUP("PK Gs",A1:CV300,85,FALSE) + HLOOKUP("PK Miss",A1:CV300,85,FALSE))</f>
      </c>
      <c r="AM85" s="21803">
        <f>HLOOKUP("BC Miss",A1:CV300,85,FALSE) - HLOOKUP("PK Miss",A1:CV300,85,FALSE)</f>
      </c>
      <c r="AN85" s="21804">
        <f>IF(HLOOKUP("BC - Open",A1:CV300,85,FALSE)=0,0,HLOOKUP("BC - Open Miss",A1:CV300,85,FALSE)/HLOOKUP("BC - Open",A1:CV300,85,FALSE))</f>
      </c>
      <c r="AO85" t="n" s="21805">
        <v>3.0</v>
      </c>
      <c r="AP85" s="21806">
        <f>IF(HLOOKUP("Gs",A1:CV300,85,FALSE)=0,0,HLOOKUP("GIB",A1:CV300,85,FALSE)/HLOOKUP("Gs",A1:CV300,85,FALSE))</f>
      </c>
      <c r="AQ85" t="n" s="21807">
        <v>2.0</v>
      </c>
      <c r="AR85" s="21808">
        <f>IF(HLOOKUP("Gs",A1:CV300,85,FALSE)=0,0,HLOOKUP("Gs - Open",A1:CV300,85,FALSE)/HLOOKUP("Gs",A1:CV300,85,FALSE))</f>
      </c>
      <c r="AS85" t="n" s="21809">
        <v>2.58</v>
      </c>
      <c r="AT85" t="n" s="21810">
        <v>0.27</v>
      </c>
      <c r="AU85" s="21811">
        <f>IF(HLOOKUP("Mins",A1:CV300,85,FALSE)=0,0,HLOOKUP("Pts",A1:CV300,85,FALSE)/HLOOKUP("Mins",A1:CV300,85,FALSE)* 90)</f>
      </c>
      <c r="AV85" s="21812">
        <f>IF(HLOOKUP("Apps",A1:CV300,85,FALSE)=0,0,HLOOKUP("Pts",A1:CV300,85,FALSE)/HLOOKUP("Apps",A1:CV300,85,FALSE)* 1)</f>
      </c>
      <c r="AW85" s="21813">
        <f>IF(HLOOKUP("Mins",A1:CV300,85,FALSE)=0,0,HLOOKUP("Gs",A1:CV300,85,FALSE)/HLOOKUP("Mins",A1:CV300,85,FALSE)* 90)</f>
      </c>
      <c r="AX85" s="21814">
        <f>IF(HLOOKUP("Mins",A1:CV300,85,FALSE)=0,0,HLOOKUP("Bonus",A1:CV300,85,FALSE)/HLOOKUP("Mins",A1:CV300,85,FALSE)* 90)</f>
      </c>
      <c r="AY85" s="21815">
        <f>IF(HLOOKUP("Mins",A1:CV300,85,FALSE)=0,0,HLOOKUP("BPS",A1:CV300,85,FALSE)/HLOOKUP("Mins",A1:CV300,85,FALSE)* 90)</f>
      </c>
      <c r="AZ85" s="21816">
        <f>IF(HLOOKUP("Mins",A1:CV300,85,FALSE)=0,0,HLOOKUP("Base BPS",A1:CV300,85,FALSE)/HLOOKUP("Mins",A1:CV300,85,FALSE)* 90)</f>
      </c>
      <c r="BA85" s="21817">
        <f>IF(HLOOKUP("Mins",A1:CV300,85,FALSE)=0,0,HLOOKUP("PenTchs",A1:CV300,85,FALSE)/HLOOKUP("Mins",A1:CV300,85,FALSE)* 90)</f>
      </c>
      <c r="BB85" s="21818">
        <f>IF(HLOOKUP("Mins",A1:CV300,85,FALSE)=0,0,HLOOKUP("Shots",A1:CV300,85,FALSE)/HLOOKUP("Mins",A1:CV300,85,FALSE)* 90)</f>
      </c>
      <c r="BC85" s="21819">
        <f>IF(HLOOKUP("Mins",A1:CV300,85,FALSE)=0,0,HLOOKUP("SIB",A1:CV300,85,FALSE)/HLOOKUP("Mins",A1:CV300,85,FALSE)* 90)</f>
      </c>
      <c r="BD85" s="21820">
        <f>IF(HLOOKUP("Mins",A1:CV300,85,FALSE)=0,0,HLOOKUP("S6YD",A1:CV300,85,FALSE)/HLOOKUP("Mins",A1:CV300,85,FALSE)* 90)</f>
      </c>
      <c r="BE85" s="21821">
        <f>IF(HLOOKUP("Mins",A1:CV300,85,FALSE)=0,0,HLOOKUP("Headers",A1:CV300,85,FALSE)/HLOOKUP("Mins",A1:CV300,85,FALSE)* 90)</f>
      </c>
      <c r="BF85" s="21822">
        <f>IF(HLOOKUP("Mins",A1:CV300,85,FALSE)=0,0,HLOOKUP("SOT",A1:CV300,85,FALSE)/HLOOKUP("Mins",A1:CV300,85,FALSE)* 90)</f>
      </c>
      <c r="BG85" s="21823">
        <f>IF(HLOOKUP("Mins",A1:CV300,85,FALSE)=0,0,HLOOKUP("As",A1:CV300,85,FALSE)/HLOOKUP("Mins",A1:CV300,85,FALSE)* 90)</f>
      </c>
      <c r="BH85" s="21824">
        <f>IF(HLOOKUP("Mins",A1:CV300,85,FALSE)=0,0,HLOOKUP("FPL As",A1:CV300,85,FALSE)/HLOOKUP("Mins",A1:CV300,85,FALSE)* 90)</f>
      </c>
      <c r="BI85" s="21825">
        <f>IF(HLOOKUP("Mins",A1:CV300,85,FALSE)=0,0,HLOOKUP("BC Created",A1:CV300,85,FALSE)/HLOOKUP("Mins",A1:CV300,85,FALSE)* 90)</f>
      </c>
      <c r="BJ85" s="21826">
        <f>IF(HLOOKUP("Mins",A1:CV300,85,FALSE)=0,0,HLOOKUP("KP",A1:CV300,85,FALSE)/HLOOKUP("Mins",A1:CV300,85,FALSE)* 90)</f>
      </c>
      <c r="BK85" s="21827">
        <f>IF(HLOOKUP("Mins",A1:CV300,85,FALSE)=0,0,HLOOKUP("BC",A1:CV300,85,FALSE)/HLOOKUP("Mins",A1:CV300,85,FALSE)* 90)</f>
      </c>
      <c r="BL85" s="21828">
        <f>IF(HLOOKUP("Mins",A1:CV300,85,FALSE)=0,0,HLOOKUP("BC Miss",A1:CV300,85,FALSE)/HLOOKUP("Mins",A1:CV300,85,FALSE)* 90)</f>
      </c>
      <c r="BM85" s="21829">
        <f>IF(HLOOKUP("Mins",A1:CV300,85,FALSE)=0,0,HLOOKUP("Gs - BC",A1:CV300,85,FALSE)/HLOOKUP("Mins",A1:CV300,85,FALSE)* 90)</f>
      </c>
      <c r="BN85" s="21830">
        <f>IF(HLOOKUP("Mins",A1:CV300,85,FALSE)=0,0,HLOOKUP("GIB",A1:CV300,85,FALSE)/HLOOKUP("Mins",A1:CV300,85,FALSE)* 90)</f>
      </c>
      <c r="BO85" s="21831">
        <f>IF(HLOOKUP("Mins",A1:CV300,85,FALSE)=0,0,HLOOKUP("Gs - Open",A1:CV300,85,FALSE)/HLOOKUP("Mins",A1:CV300,85,FALSE)* 90)</f>
      </c>
      <c r="BP85" s="21832">
        <f>IF(HLOOKUP("Mins",A1:CV300,85,FALSE)=0,0,HLOOKUP("ICT Index",A1:CV300,85,FALSE)/HLOOKUP("Mins",A1:CV300,85,FALSE)* 90)</f>
      </c>
      <c r="BQ85" s="21833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1834">
        <f>0.0885*HLOOKUP("KP/90",A1:CV300,85,FALSE)</f>
      </c>
      <c r="BS85" s="21835">
        <f>5*HLOOKUP("xG/90",A1:CV300,85,FALSE)+3*HLOOKUP("xA/90",A1:CV300,85,FALSE)</f>
      </c>
      <c r="BT85" s="21836">
        <f>HLOOKUP("xPts/90",A1:CV300,85,FALSE)-(5*0.75*(HLOOKUP("PK Gs",A1:CV300,85,FALSE)+HLOOKUP("PK Miss",A1:CV300,85,FALSE))*90/HLOOKUP("Mins",A1:CV300,85,FALSE))</f>
      </c>
      <c r="BU85" s="21837">
        <f>IF(HLOOKUP("Mins",A1:CV300,85,FALSE)=0,0,HLOOKUP("fsXG",A1:CV300,85,FALSE)/HLOOKUP("Mins",A1:CV300,85,FALSE)* 90)</f>
      </c>
      <c r="BV85" s="21838">
        <f>IF(HLOOKUP("Mins",A1:CV300,85,FALSE)=0,0,HLOOKUP("fsXA",A1:CV300,85,FALSE)/HLOOKUP("Mins",A1:CV300,85,FALSE)* 90)</f>
      </c>
      <c r="BW85" s="21839">
        <f>5*HLOOKUP("fsXG/90",A1:CV300,85,FALSE)+3*HLOOKUP("fsXA/90",A1:CV300,85,FALSE)</f>
      </c>
      <c r="BX85" t="n" s="21840">
        <v>0.7085465788841248</v>
      </c>
      <c r="BY85" t="n" s="21841">
        <v>0.15468746423721313</v>
      </c>
      <c r="BZ85" s="21842">
        <f>5*HLOOKUP("uXG/90",A1:CV300,85,FALSE)+3*HLOOKUP("uXA/90",A1:CV300,85,FALSE)</f>
      </c>
    </row>
    <row r="86">
      <c r="A86" t="s" s="21843">
        <v>377</v>
      </c>
      <c r="B86" t="s" s="21844">
        <v>102</v>
      </c>
      <c r="C86" t="n" s="21845">
        <v>5.0</v>
      </c>
      <c r="D86" t="n" s="21846">
        <v>346.0</v>
      </c>
      <c r="E86" t="n" s="21847">
        <v>6.0</v>
      </c>
      <c r="F86" t="n" s="21848">
        <v>29.0</v>
      </c>
      <c r="G86" t="n" s="21849">
        <v>0.0</v>
      </c>
      <c r="H86" t="n" s="21850">
        <v>0.0</v>
      </c>
      <c r="I86" t="n" s="21851">
        <v>115.0</v>
      </c>
      <c r="J86" s="21852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1853">
        <v>0.0</v>
      </c>
      <c r="L86" t="n" s="21854">
        <v>2.0</v>
      </c>
      <c r="M86" t="n" s="21855">
        <v>0.0</v>
      </c>
      <c r="N86" t="n" s="21856">
        <v>6.0</v>
      </c>
      <c r="O86" t="n" s="21857">
        <v>0.0</v>
      </c>
      <c r="P86" s="21858">
        <f>IF(HLOOKUP("Shots",A1:CV300,86,FALSE)=0,0,HLOOKUP("SIB",A1:CV300,86,FALSE)/HLOOKUP("Shots",A1:CV300,86,FALSE))</f>
      </c>
      <c r="Q86" t="n" s="21859">
        <v>0.0</v>
      </c>
      <c r="R86" s="21860">
        <f>IF(HLOOKUP("Shots",A1:CV300,86,FALSE)=0,0,HLOOKUP("S6YD",A1:CV300,86,FALSE)/HLOOKUP("Shots",A1:CV300,86,FALSE))</f>
      </c>
      <c r="S86" t="n" s="21861">
        <v>0.0</v>
      </c>
      <c r="T86" s="21862">
        <f>IF(HLOOKUP("Shots",A1:CV300,86,FALSE)=0,0,HLOOKUP("Headers",A1:CV300,86,FALSE)/HLOOKUP("Shots",A1:CV300,86,FALSE))</f>
      </c>
      <c r="U86" t="n" s="21863">
        <v>0.0</v>
      </c>
      <c r="V86" s="21864">
        <f>IF(HLOOKUP("Shots",A1:CV300,86,FALSE)=0,0,HLOOKUP("SOT",A1:CV300,86,FALSE)/HLOOKUP("Shots",A1:CV300,86,FALSE))</f>
      </c>
      <c r="W86" s="21865">
        <f>IF(HLOOKUP("Shots",A1:CV300,86,FALSE)=0,0,HLOOKUP("Gs",A1:CV300,86,FALSE)/HLOOKUP("Shots",A1:CV300,86,FALSE))</f>
      </c>
      <c r="X86" t="n" s="21866">
        <v>0.0</v>
      </c>
      <c r="Y86" t="n" s="21867">
        <v>2.0</v>
      </c>
      <c r="Z86" t="n" s="21868">
        <v>2.0</v>
      </c>
      <c r="AA86" s="21869">
        <f>IF(HLOOKUP("KP",A1:CV300,86,FALSE)=0,0,HLOOKUP("As",A1:CV300,86,FALSE)/HLOOKUP("KP",A1:CV300,86,FALSE))</f>
      </c>
      <c r="AB86" s="21870"/>
      <c r="AC86" t="n" s="21871">
        <v>0.0</v>
      </c>
      <c r="AD86" t="n" s="21872">
        <v>0.0</v>
      </c>
      <c r="AE86" t="n" s="21873">
        <v>0.0</v>
      </c>
      <c r="AF86" t="n" s="21874">
        <v>0.0</v>
      </c>
      <c r="AG86" s="21875">
        <f>IF(HLOOKUP("BC",A1:CV300,86,FALSE)=0,0,HLOOKUP("Gs - BC",A1:CV300,86,FALSE)/HLOOKUP("BC",A1:CV300,86,FALSE))</f>
      </c>
      <c r="AH86" s="21876">
        <f>HLOOKUP("BC",A1:CV300,86,FALSE) - HLOOKUP("BC Miss",A1:CV300,86,FALSE)</f>
      </c>
      <c r="AI86" s="21877">
        <f>IF(HLOOKUP("Gs",A1:CV300,86,FALSE)=0,0,HLOOKUP("Gs - BC",A1:CV300,86,FALSE)/HLOOKUP("Gs",A1:CV300,86,FALSE))</f>
      </c>
      <c r="AJ86" t="n" s="21878">
        <v>0.0</v>
      </c>
      <c r="AK86" t="n" s="21879">
        <v>0.0</v>
      </c>
      <c r="AL86" s="21880">
        <f>HLOOKUP("BC",A1:CV300,86,FALSE) - (HLOOKUP("PK Gs",A1:CV300,86,FALSE) + HLOOKUP("PK Miss",A1:CV300,86,FALSE))</f>
      </c>
      <c r="AM86" s="21881">
        <f>HLOOKUP("BC Miss",A1:CV300,86,FALSE) - HLOOKUP("PK Miss",A1:CV300,86,FALSE)</f>
      </c>
      <c r="AN86" s="21882">
        <f>IF(HLOOKUP("BC - Open",A1:CV300,86,FALSE)=0,0,HLOOKUP("BC - Open Miss",A1:CV300,86,FALSE)/HLOOKUP("BC - Open",A1:CV300,86,FALSE))</f>
      </c>
      <c r="AO86" t="n" s="21883">
        <v>0.0</v>
      </c>
      <c r="AP86" s="21884">
        <f>IF(HLOOKUP("Gs",A1:CV300,86,FALSE)=0,0,HLOOKUP("GIB",A1:CV300,86,FALSE)/HLOOKUP("Gs",A1:CV300,86,FALSE))</f>
      </c>
      <c r="AQ86" t="n" s="21885">
        <v>0.0</v>
      </c>
      <c r="AR86" s="21886">
        <f>IF(HLOOKUP("Gs",A1:CV300,86,FALSE)=0,0,HLOOKUP("Gs - Open",A1:CV300,86,FALSE)/HLOOKUP("Gs",A1:CV300,86,FALSE))</f>
      </c>
      <c r="AS86" t="n" s="21887">
        <v>0.19</v>
      </c>
      <c r="AT86" t="n" s="21888">
        <v>0.16</v>
      </c>
      <c r="AU86" s="21889">
        <f>IF(HLOOKUP("Mins",A1:CV300,86,FALSE)=0,0,HLOOKUP("Pts",A1:CV300,86,FALSE)/HLOOKUP("Mins",A1:CV300,86,FALSE)* 90)</f>
      </c>
      <c r="AV86" s="21890">
        <f>IF(HLOOKUP("Apps",A1:CV300,86,FALSE)=0,0,HLOOKUP("Pts",A1:CV300,86,FALSE)/HLOOKUP("Apps",A1:CV300,86,FALSE)* 1)</f>
      </c>
      <c r="AW86" s="21891">
        <f>IF(HLOOKUP("Mins",A1:CV300,86,FALSE)=0,0,HLOOKUP("Gs",A1:CV300,86,FALSE)/HLOOKUP("Mins",A1:CV300,86,FALSE)* 90)</f>
      </c>
      <c r="AX86" s="21892">
        <f>IF(HLOOKUP("Mins",A1:CV300,86,FALSE)=0,0,HLOOKUP("Bonus",A1:CV300,86,FALSE)/HLOOKUP("Mins",A1:CV300,86,FALSE)* 90)</f>
      </c>
      <c r="AY86" s="21893">
        <f>IF(HLOOKUP("Mins",A1:CV300,86,FALSE)=0,0,HLOOKUP("BPS",A1:CV300,86,FALSE)/HLOOKUP("Mins",A1:CV300,86,FALSE)* 90)</f>
      </c>
      <c r="AZ86" s="21894">
        <f>IF(HLOOKUP("Mins",A1:CV300,86,FALSE)=0,0,HLOOKUP("Base BPS",A1:CV300,86,FALSE)/HLOOKUP("Mins",A1:CV300,86,FALSE)* 90)</f>
      </c>
      <c r="BA86" s="21895">
        <f>IF(HLOOKUP("Mins",A1:CV300,86,FALSE)=0,0,HLOOKUP("PenTchs",A1:CV300,86,FALSE)/HLOOKUP("Mins",A1:CV300,86,FALSE)* 90)</f>
      </c>
      <c r="BB86" s="21896">
        <f>IF(HLOOKUP("Mins",A1:CV300,86,FALSE)=0,0,HLOOKUP("Shots",A1:CV300,86,FALSE)/HLOOKUP("Mins",A1:CV300,86,FALSE)* 90)</f>
      </c>
      <c r="BC86" s="21897">
        <f>IF(HLOOKUP("Mins",A1:CV300,86,FALSE)=0,0,HLOOKUP("SIB",A1:CV300,86,FALSE)/HLOOKUP("Mins",A1:CV300,86,FALSE)* 90)</f>
      </c>
      <c r="BD86" s="21898">
        <f>IF(HLOOKUP("Mins",A1:CV300,86,FALSE)=0,0,HLOOKUP("S6YD",A1:CV300,86,FALSE)/HLOOKUP("Mins",A1:CV300,86,FALSE)* 90)</f>
      </c>
      <c r="BE86" s="21899">
        <f>IF(HLOOKUP("Mins",A1:CV300,86,FALSE)=0,0,HLOOKUP("Headers",A1:CV300,86,FALSE)/HLOOKUP("Mins",A1:CV300,86,FALSE)* 90)</f>
      </c>
      <c r="BF86" s="21900">
        <f>IF(HLOOKUP("Mins",A1:CV300,86,FALSE)=0,0,HLOOKUP("SOT",A1:CV300,86,FALSE)/HLOOKUP("Mins",A1:CV300,86,FALSE)* 90)</f>
      </c>
      <c r="BG86" s="21901">
        <f>IF(HLOOKUP("Mins",A1:CV300,86,FALSE)=0,0,HLOOKUP("As",A1:CV300,86,FALSE)/HLOOKUP("Mins",A1:CV300,86,FALSE)* 90)</f>
      </c>
      <c r="BH86" s="21902">
        <f>IF(HLOOKUP("Mins",A1:CV300,86,FALSE)=0,0,HLOOKUP("FPL As",A1:CV300,86,FALSE)/HLOOKUP("Mins",A1:CV300,86,FALSE)* 90)</f>
      </c>
      <c r="BI86" s="21903">
        <f>IF(HLOOKUP("Mins",A1:CV300,86,FALSE)=0,0,HLOOKUP("BC Created",A1:CV300,86,FALSE)/HLOOKUP("Mins",A1:CV300,86,FALSE)* 90)</f>
      </c>
      <c r="BJ86" s="21904">
        <f>IF(HLOOKUP("Mins",A1:CV300,86,FALSE)=0,0,HLOOKUP("KP",A1:CV300,86,FALSE)/HLOOKUP("Mins",A1:CV300,86,FALSE)* 90)</f>
      </c>
      <c r="BK86" s="21905">
        <f>IF(HLOOKUP("Mins",A1:CV300,86,FALSE)=0,0,HLOOKUP("BC",A1:CV300,86,FALSE)/HLOOKUP("Mins",A1:CV300,86,FALSE)* 90)</f>
      </c>
      <c r="BL86" s="21906">
        <f>IF(HLOOKUP("Mins",A1:CV300,86,FALSE)=0,0,HLOOKUP("BC Miss",A1:CV300,86,FALSE)/HLOOKUP("Mins",A1:CV300,86,FALSE)* 90)</f>
      </c>
      <c r="BM86" s="21907">
        <f>IF(HLOOKUP("Mins",A1:CV300,86,FALSE)=0,0,HLOOKUP("Gs - BC",A1:CV300,86,FALSE)/HLOOKUP("Mins",A1:CV300,86,FALSE)* 90)</f>
      </c>
      <c r="BN86" s="21908">
        <f>IF(HLOOKUP("Mins",A1:CV300,86,FALSE)=0,0,HLOOKUP("GIB",A1:CV300,86,FALSE)/HLOOKUP("Mins",A1:CV300,86,FALSE)* 90)</f>
      </c>
      <c r="BO86" s="21909">
        <f>IF(HLOOKUP("Mins",A1:CV300,86,FALSE)=0,0,HLOOKUP("Gs - Open",A1:CV300,86,FALSE)/HLOOKUP("Mins",A1:CV300,86,FALSE)* 90)</f>
      </c>
      <c r="BP86" s="21910">
        <f>IF(HLOOKUP("Mins",A1:CV300,86,FALSE)=0,0,HLOOKUP("ICT Index",A1:CV300,86,FALSE)/HLOOKUP("Mins",A1:CV300,86,FALSE)* 90)</f>
      </c>
      <c r="BQ86" s="21911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1912">
        <f>0.0885*HLOOKUP("KP/90",A1:CV300,86,FALSE)</f>
      </c>
      <c r="BS86" s="21913">
        <f>5*HLOOKUP("xG/90",A1:CV300,86,FALSE)+3*HLOOKUP("xA/90",A1:CV300,86,FALSE)</f>
      </c>
      <c r="BT86" s="21914">
        <f>HLOOKUP("xPts/90",A1:CV300,86,FALSE)-(5*0.75*(HLOOKUP("PK Gs",A1:CV300,86,FALSE)+HLOOKUP("PK Miss",A1:CV300,86,FALSE))*90/HLOOKUP("Mins",A1:CV300,86,FALSE))</f>
      </c>
      <c r="BU86" s="21915">
        <f>IF(HLOOKUP("Mins",A1:CV300,86,FALSE)=0,0,HLOOKUP("fsXG",A1:CV300,86,FALSE)/HLOOKUP("Mins",A1:CV300,86,FALSE)* 90)</f>
      </c>
      <c r="BV86" s="21916">
        <f>IF(HLOOKUP("Mins",A1:CV300,86,FALSE)=0,0,HLOOKUP("fsXA",A1:CV300,86,FALSE)/HLOOKUP("Mins",A1:CV300,86,FALSE)* 90)</f>
      </c>
      <c r="BW86" s="21917">
        <f>5*HLOOKUP("fsXG/90",A1:CV300,86,FALSE)+3*HLOOKUP("fsXA/90",A1:CV300,86,FALSE)</f>
      </c>
      <c r="BX86" t="n" s="21918">
        <v>0.03564979508519173</v>
      </c>
      <c r="BY86" t="n" s="21919">
        <v>0.03114805556833744</v>
      </c>
      <c r="BZ86" s="21920">
        <f>5*HLOOKUP("uXG/90",A1:CV300,86,FALSE)+3*HLOOKUP("uXA/90",A1:CV300,86,FALSE)</f>
      </c>
    </row>
    <row r="87">
      <c r="A87" t="s" s="21921">
        <v>378</v>
      </c>
      <c r="B87" t="s" s="21922">
        <v>107</v>
      </c>
      <c r="C87" t="n" s="21923">
        <v>5.199999809265137</v>
      </c>
      <c r="D87" t="n" s="21924">
        <v>314.0</v>
      </c>
      <c r="E87" t="n" s="21925">
        <v>6.0</v>
      </c>
      <c r="F87" t="n" s="21926">
        <v>15.0</v>
      </c>
      <c r="G87" t="n" s="21927">
        <v>0.0</v>
      </c>
      <c r="H87" t="n" s="21928">
        <v>0.0</v>
      </c>
      <c r="I87" t="n" s="21929">
        <v>35.0</v>
      </c>
      <c r="J87" s="21930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1931">
        <v>0.0</v>
      </c>
      <c r="L87" t="n" s="21932">
        <v>1.0</v>
      </c>
      <c r="M87" t="n" s="21933">
        <v>8.0</v>
      </c>
      <c r="N87" t="n" s="21934">
        <v>5.0</v>
      </c>
      <c r="O87" t="n" s="21935">
        <v>3.0</v>
      </c>
      <c r="P87" s="21936">
        <f>IF(HLOOKUP("Shots",A1:CV300,87,FALSE)=0,0,HLOOKUP("SIB",A1:CV300,87,FALSE)/HLOOKUP("Shots",A1:CV300,87,FALSE))</f>
      </c>
      <c r="Q87" t="n" s="21937">
        <v>0.0</v>
      </c>
      <c r="R87" s="21938">
        <f>IF(HLOOKUP("Shots",A1:CV300,87,FALSE)=0,0,HLOOKUP("S6YD",A1:CV300,87,FALSE)/HLOOKUP("Shots",A1:CV300,87,FALSE))</f>
      </c>
      <c r="S87" t="n" s="21939">
        <v>0.0</v>
      </c>
      <c r="T87" s="21940">
        <f>IF(HLOOKUP("Shots",A1:CV300,87,FALSE)=0,0,HLOOKUP("Headers",A1:CV300,87,FALSE)/HLOOKUP("Shots",A1:CV300,87,FALSE))</f>
      </c>
      <c r="U87" t="n" s="21941">
        <v>1.0</v>
      </c>
      <c r="V87" s="21942">
        <f>IF(HLOOKUP("Shots",A1:CV300,87,FALSE)=0,0,HLOOKUP("SOT",A1:CV300,87,FALSE)/HLOOKUP("Shots",A1:CV300,87,FALSE))</f>
      </c>
      <c r="W87" s="21943">
        <f>IF(HLOOKUP("Shots",A1:CV300,87,FALSE)=0,0,HLOOKUP("Gs",A1:CV300,87,FALSE)/HLOOKUP("Shots",A1:CV300,87,FALSE))</f>
      </c>
      <c r="X87" t="n" s="21944">
        <v>0.0</v>
      </c>
      <c r="Y87" t="n" s="21945">
        <v>0.0</v>
      </c>
      <c r="Z87" t="n" s="21946">
        <v>1.0</v>
      </c>
      <c r="AA87" s="21947">
        <f>IF(HLOOKUP("KP",A1:CV300,87,FALSE)=0,0,HLOOKUP("As",A1:CV300,87,FALSE)/HLOOKUP("KP",A1:CV300,87,FALSE))</f>
      </c>
      <c r="AB87" s="21948"/>
      <c r="AC87" t="n" s="21949">
        <v>0.0</v>
      </c>
      <c r="AD87" t="n" s="21950">
        <v>0.0</v>
      </c>
      <c r="AE87" t="n" s="21951">
        <v>0.0</v>
      </c>
      <c r="AF87" t="n" s="21952">
        <v>0.0</v>
      </c>
      <c r="AG87" s="21953">
        <f>IF(HLOOKUP("BC",A1:CV300,87,FALSE)=0,0,HLOOKUP("Gs - BC",A1:CV300,87,FALSE)/HLOOKUP("BC",A1:CV300,87,FALSE))</f>
      </c>
      <c r="AH87" s="21954">
        <f>HLOOKUP("BC",A1:CV300,87,FALSE) - HLOOKUP("BC Miss",A1:CV300,87,FALSE)</f>
      </c>
      <c r="AI87" s="21955">
        <f>IF(HLOOKUP("Gs",A1:CV300,87,FALSE)=0,0,HLOOKUP("Gs - BC",A1:CV300,87,FALSE)/HLOOKUP("Gs",A1:CV300,87,FALSE))</f>
      </c>
      <c r="AJ87" t="n" s="21956">
        <v>0.0</v>
      </c>
      <c r="AK87" t="n" s="21957">
        <v>0.0</v>
      </c>
      <c r="AL87" s="21958">
        <f>HLOOKUP("BC",A1:CV300,87,FALSE) - (HLOOKUP("PK Gs",A1:CV300,87,FALSE) + HLOOKUP("PK Miss",A1:CV300,87,FALSE))</f>
      </c>
      <c r="AM87" s="21959">
        <f>HLOOKUP("BC Miss",A1:CV300,87,FALSE) - HLOOKUP("PK Miss",A1:CV300,87,FALSE)</f>
      </c>
      <c r="AN87" s="21960">
        <f>IF(HLOOKUP("BC - Open",A1:CV300,87,FALSE)=0,0,HLOOKUP("BC - Open Miss",A1:CV300,87,FALSE)/HLOOKUP("BC - Open",A1:CV300,87,FALSE))</f>
      </c>
      <c r="AO87" t="n" s="21961">
        <v>0.0</v>
      </c>
      <c r="AP87" s="21962">
        <f>IF(HLOOKUP("Gs",A1:CV300,87,FALSE)=0,0,HLOOKUP("GIB",A1:CV300,87,FALSE)/HLOOKUP("Gs",A1:CV300,87,FALSE))</f>
      </c>
      <c r="AQ87" t="n" s="21963">
        <v>0.0</v>
      </c>
      <c r="AR87" s="21964">
        <f>IF(HLOOKUP("Gs",A1:CV300,87,FALSE)=0,0,HLOOKUP("Gs - Open",A1:CV300,87,FALSE)/HLOOKUP("Gs",A1:CV300,87,FALSE))</f>
      </c>
      <c r="AS87" t="n" s="21965">
        <v>0.76</v>
      </c>
      <c r="AT87" t="n" s="21966">
        <v>0.14</v>
      </c>
      <c r="AU87" s="21967">
        <f>IF(HLOOKUP("Mins",A1:CV300,87,FALSE)=0,0,HLOOKUP("Pts",A1:CV300,87,FALSE)/HLOOKUP("Mins",A1:CV300,87,FALSE)* 90)</f>
      </c>
      <c r="AV87" s="21968">
        <f>IF(HLOOKUP("Apps",A1:CV300,87,FALSE)=0,0,HLOOKUP("Pts",A1:CV300,87,FALSE)/HLOOKUP("Apps",A1:CV300,87,FALSE)* 1)</f>
      </c>
      <c r="AW87" s="21969">
        <f>IF(HLOOKUP("Mins",A1:CV300,87,FALSE)=0,0,HLOOKUP("Gs",A1:CV300,87,FALSE)/HLOOKUP("Mins",A1:CV300,87,FALSE)* 90)</f>
      </c>
      <c r="AX87" s="21970">
        <f>IF(HLOOKUP("Mins",A1:CV300,87,FALSE)=0,0,HLOOKUP("Bonus",A1:CV300,87,FALSE)/HLOOKUP("Mins",A1:CV300,87,FALSE)* 90)</f>
      </c>
      <c r="AY87" s="21971">
        <f>IF(HLOOKUP("Mins",A1:CV300,87,FALSE)=0,0,HLOOKUP("BPS",A1:CV300,87,FALSE)/HLOOKUP("Mins",A1:CV300,87,FALSE)* 90)</f>
      </c>
      <c r="AZ87" s="21972">
        <f>IF(HLOOKUP("Mins",A1:CV300,87,FALSE)=0,0,HLOOKUP("Base BPS",A1:CV300,87,FALSE)/HLOOKUP("Mins",A1:CV300,87,FALSE)* 90)</f>
      </c>
      <c r="BA87" s="21973">
        <f>IF(HLOOKUP("Mins",A1:CV300,87,FALSE)=0,0,HLOOKUP("PenTchs",A1:CV300,87,FALSE)/HLOOKUP("Mins",A1:CV300,87,FALSE)* 90)</f>
      </c>
      <c r="BB87" s="21974">
        <f>IF(HLOOKUP("Mins",A1:CV300,87,FALSE)=0,0,HLOOKUP("Shots",A1:CV300,87,FALSE)/HLOOKUP("Mins",A1:CV300,87,FALSE)* 90)</f>
      </c>
      <c r="BC87" s="21975">
        <f>IF(HLOOKUP("Mins",A1:CV300,87,FALSE)=0,0,HLOOKUP("SIB",A1:CV300,87,FALSE)/HLOOKUP("Mins",A1:CV300,87,FALSE)* 90)</f>
      </c>
      <c r="BD87" s="21976">
        <f>IF(HLOOKUP("Mins",A1:CV300,87,FALSE)=0,0,HLOOKUP("S6YD",A1:CV300,87,FALSE)/HLOOKUP("Mins",A1:CV300,87,FALSE)* 90)</f>
      </c>
      <c r="BE87" s="21977">
        <f>IF(HLOOKUP("Mins",A1:CV300,87,FALSE)=0,0,HLOOKUP("Headers",A1:CV300,87,FALSE)/HLOOKUP("Mins",A1:CV300,87,FALSE)* 90)</f>
      </c>
      <c r="BF87" s="21978">
        <f>IF(HLOOKUP("Mins",A1:CV300,87,FALSE)=0,0,HLOOKUP("SOT",A1:CV300,87,FALSE)/HLOOKUP("Mins",A1:CV300,87,FALSE)* 90)</f>
      </c>
      <c r="BG87" s="21979">
        <f>IF(HLOOKUP("Mins",A1:CV300,87,FALSE)=0,0,HLOOKUP("As",A1:CV300,87,FALSE)/HLOOKUP("Mins",A1:CV300,87,FALSE)* 90)</f>
      </c>
      <c r="BH87" s="21980">
        <f>IF(HLOOKUP("Mins",A1:CV300,87,FALSE)=0,0,HLOOKUP("FPL As",A1:CV300,87,FALSE)/HLOOKUP("Mins",A1:CV300,87,FALSE)* 90)</f>
      </c>
      <c r="BI87" s="21981">
        <f>IF(HLOOKUP("Mins",A1:CV300,87,FALSE)=0,0,HLOOKUP("BC Created",A1:CV300,87,FALSE)/HLOOKUP("Mins",A1:CV300,87,FALSE)* 90)</f>
      </c>
      <c r="BJ87" s="21982">
        <f>IF(HLOOKUP("Mins",A1:CV300,87,FALSE)=0,0,HLOOKUP("KP",A1:CV300,87,FALSE)/HLOOKUP("Mins",A1:CV300,87,FALSE)* 90)</f>
      </c>
      <c r="BK87" s="21983">
        <f>IF(HLOOKUP("Mins",A1:CV300,87,FALSE)=0,0,HLOOKUP("BC",A1:CV300,87,FALSE)/HLOOKUP("Mins",A1:CV300,87,FALSE)* 90)</f>
      </c>
      <c r="BL87" s="21984">
        <f>IF(HLOOKUP("Mins",A1:CV300,87,FALSE)=0,0,HLOOKUP("BC Miss",A1:CV300,87,FALSE)/HLOOKUP("Mins",A1:CV300,87,FALSE)* 90)</f>
      </c>
      <c r="BM87" s="21985">
        <f>IF(HLOOKUP("Mins",A1:CV300,87,FALSE)=0,0,HLOOKUP("Gs - BC",A1:CV300,87,FALSE)/HLOOKUP("Mins",A1:CV300,87,FALSE)* 90)</f>
      </c>
      <c r="BN87" s="21986">
        <f>IF(HLOOKUP("Mins",A1:CV300,87,FALSE)=0,0,HLOOKUP("GIB",A1:CV300,87,FALSE)/HLOOKUP("Mins",A1:CV300,87,FALSE)* 90)</f>
      </c>
      <c r="BO87" s="21987">
        <f>IF(HLOOKUP("Mins",A1:CV300,87,FALSE)=0,0,HLOOKUP("Gs - Open",A1:CV300,87,FALSE)/HLOOKUP("Mins",A1:CV300,87,FALSE)* 90)</f>
      </c>
      <c r="BP87" s="21988">
        <f>IF(HLOOKUP("Mins",A1:CV300,87,FALSE)=0,0,HLOOKUP("ICT Index",A1:CV300,87,FALSE)/HLOOKUP("Mins",A1:CV300,87,FALSE)* 90)</f>
      </c>
      <c r="BQ87" s="21989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1990">
        <f>0.0885*HLOOKUP("KP/90",A1:CV300,87,FALSE)</f>
      </c>
      <c r="BS87" s="21991">
        <f>5*HLOOKUP("xG/90",A1:CV300,87,FALSE)+3*HLOOKUP("xA/90",A1:CV300,87,FALSE)</f>
      </c>
      <c r="BT87" s="21992">
        <f>HLOOKUP("xPts/90",A1:CV300,87,FALSE)-(5*0.75*(HLOOKUP("PK Gs",A1:CV300,87,FALSE)+HLOOKUP("PK Miss",A1:CV300,87,FALSE))*90/HLOOKUP("Mins",A1:CV300,87,FALSE))</f>
      </c>
      <c r="BU87" s="21993">
        <f>IF(HLOOKUP("Mins",A1:CV300,87,FALSE)=0,0,HLOOKUP("fsXG",A1:CV300,87,FALSE)/HLOOKUP("Mins",A1:CV300,87,FALSE)* 90)</f>
      </c>
      <c r="BV87" s="21994">
        <f>IF(HLOOKUP("Mins",A1:CV300,87,FALSE)=0,0,HLOOKUP("fsXA",A1:CV300,87,FALSE)/HLOOKUP("Mins",A1:CV300,87,FALSE)* 90)</f>
      </c>
      <c r="BW87" s="21995">
        <f>5*HLOOKUP("fsXG/90",A1:CV300,87,FALSE)+3*HLOOKUP("fsXA/90",A1:CV300,87,FALSE)</f>
      </c>
      <c r="BX87" t="n" s="21996">
        <v>0.057534534484148026</v>
      </c>
      <c r="BY87" t="n" s="21997">
        <v>0.02402287721633911</v>
      </c>
      <c r="BZ87" s="21998">
        <f>5*HLOOKUP("uXG/90",A1:CV300,87,FALSE)+3*HLOOKUP("uXA/90",A1:CV300,87,FALSE)</f>
      </c>
    </row>
    <row r="88">
      <c r="A88" t="s" s="21999">
        <v>379</v>
      </c>
      <c r="B88" t="s" s="22000">
        <v>144</v>
      </c>
      <c r="C88" t="n" s="22001">
        <v>8.399999618530273</v>
      </c>
      <c r="D88" t="n" s="22002">
        <v>71.0</v>
      </c>
      <c r="E88" t="n" s="22003">
        <v>2.0</v>
      </c>
      <c r="F88" t="n" s="22004">
        <v>17.0</v>
      </c>
      <c r="G88" t="n" s="22005">
        <v>0.0</v>
      </c>
      <c r="H88" t="n" s="22006">
        <v>0.0</v>
      </c>
      <c r="I88" t="n" s="22007">
        <v>80.0</v>
      </c>
      <c r="J88" s="22008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2009">
        <v>0.0</v>
      </c>
      <c r="L88" t="n" s="22010">
        <v>1.0</v>
      </c>
      <c r="M88" t="n" s="22011">
        <v>3.0</v>
      </c>
      <c r="N88" t="n" s="22012">
        <v>5.0</v>
      </c>
      <c r="O88" t="n" s="22013">
        <v>2.0</v>
      </c>
      <c r="P88" s="22014">
        <f>IF(HLOOKUP("Shots",A1:CV300,88,FALSE)=0,0,HLOOKUP("SIB",A1:CV300,88,FALSE)/HLOOKUP("Shots",A1:CV300,88,FALSE))</f>
      </c>
      <c r="Q88" t="n" s="22015">
        <v>0.0</v>
      </c>
      <c r="R88" s="22016">
        <f>IF(HLOOKUP("Shots",A1:CV300,88,FALSE)=0,0,HLOOKUP("S6YD",A1:CV300,88,FALSE)/HLOOKUP("Shots",A1:CV300,88,FALSE))</f>
      </c>
      <c r="S88" t="n" s="22017">
        <v>0.0</v>
      </c>
      <c r="T88" s="22018">
        <f>IF(HLOOKUP("Shots",A1:CV300,88,FALSE)=0,0,HLOOKUP("Headers",A1:CV300,88,FALSE)/HLOOKUP("Shots",A1:CV300,88,FALSE))</f>
      </c>
      <c r="U88" t="n" s="22019">
        <v>4.0</v>
      </c>
      <c r="V88" s="22020">
        <f>IF(HLOOKUP("Shots",A1:CV300,88,FALSE)=0,0,HLOOKUP("SOT",A1:CV300,88,FALSE)/HLOOKUP("Shots",A1:CV300,88,FALSE))</f>
      </c>
      <c r="W88" s="22021">
        <f>IF(HLOOKUP("Shots",A1:CV300,88,FALSE)=0,0,HLOOKUP("Gs",A1:CV300,88,FALSE)/HLOOKUP("Shots",A1:CV300,88,FALSE))</f>
      </c>
      <c r="X88" t="n" s="22022">
        <v>0.0</v>
      </c>
      <c r="Y88" t="n" s="22023">
        <v>2.0</v>
      </c>
      <c r="Z88" t="n" s="22024">
        <v>3.0</v>
      </c>
      <c r="AA88" s="22025">
        <f>IF(HLOOKUP("KP",A1:CV300,88,FALSE)=0,0,HLOOKUP("As",A1:CV300,88,FALSE)/HLOOKUP("KP",A1:CV300,88,FALSE))</f>
      </c>
      <c r="AB88" s="22026"/>
      <c r="AC88" t="n" s="22027">
        <v>0.0</v>
      </c>
      <c r="AD88" t="n" s="22028">
        <v>0.0</v>
      </c>
      <c r="AE88" t="n" s="22029">
        <v>2.0</v>
      </c>
      <c r="AF88" t="n" s="22030">
        <v>2.0</v>
      </c>
      <c r="AG88" s="22031">
        <f>IF(HLOOKUP("BC",A1:CV300,88,FALSE)=0,0,HLOOKUP("Gs - BC",A1:CV300,88,FALSE)/HLOOKUP("BC",A1:CV300,88,FALSE))</f>
      </c>
      <c r="AH88" s="22032">
        <f>HLOOKUP("BC",A1:CV300,88,FALSE) - HLOOKUP("BC Miss",A1:CV300,88,FALSE)</f>
      </c>
      <c r="AI88" s="22033">
        <f>IF(HLOOKUP("Gs",A1:CV300,88,FALSE)=0,0,HLOOKUP("Gs - BC",A1:CV300,88,FALSE)/HLOOKUP("Gs",A1:CV300,88,FALSE))</f>
      </c>
      <c r="AJ88" t="n" s="22034">
        <v>0.0</v>
      </c>
      <c r="AK88" t="n" s="22035">
        <v>0.0</v>
      </c>
      <c r="AL88" s="22036">
        <f>HLOOKUP("BC",A1:CV300,88,FALSE) - (HLOOKUP("PK Gs",A1:CV300,88,FALSE) + HLOOKUP("PK Miss",A1:CV300,88,FALSE))</f>
      </c>
      <c r="AM88" s="22037">
        <f>HLOOKUP("BC Miss",A1:CV300,88,FALSE) - HLOOKUP("PK Miss",A1:CV300,88,FALSE)</f>
      </c>
      <c r="AN88" s="22038">
        <f>IF(HLOOKUP("BC - Open",A1:CV300,88,FALSE)=0,0,HLOOKUP("BC - Open Miss",A1:CV300,88,FALSE)/HLOOKUP("BC - Open",A1:CV300,88,FALSE))</f>
      </c>
      <c r="AO88" t="n" s="22039">
        <v>0.0</v>
      </c>
      <c r="AP88" s="22040">
        <f>IF(HLOOKUP("Gs",A1:CV300,88,FALSE)=0,0,HLOOKUP("GIB",A1:CV300,88,FALSE)/HLOOKUP("Gs",A1:CV300,88,FALSE))</f>
      </c>
      <c r="AQ88" t="n" s="22041">
        <v>0.0</v>
      </c>
      <c r="AR88" s="22042">
        <f>IF(HLOOKUP("Gs",A1:CV300,88,FALSE)=0,0,HLOOKUP("Gs - Open",A1:CV300,88,FALSE)/HLOOKUP("Gs",A1:CV300,88,FALSE))</f>
      </c>
      <c r="AS88" t="n" s="22043">
        <v>0.84</v>
      </c>
      <c r="AT88" t="n" s="22044">
        <v>0.52</v>
      </c>
      <c r="AU88" s="22045">
        <f>IF(HLOOKUP("Mins",A1:CV300,88,FALSE)=0,0,HLOOKUP("Pts",A1:CV300,88,FALSE)/HLOOKUP("Mins",A1:CV300,88,FALSE)* 90)</f>
      </c>
      <c r="AV88" s="22046">
        <f>IF(HLOOKUP("Apps",A1:CV300,88,FALSE)=0,0,HLOOKUP("Pts",A1:CV300,88,FALSE)/HLOOKUP("Apps",A1:CV300,88,FALSE)* 1)</f>
      </c>
      <c r="AW88" s="22047">
        <f>IF(HLOOKUP("Mins",A1:CV300,88,FALSE)=0,0,HLOOKUP("Gs",A1:CV300,88,FALSE)/HLOOKUP("Mins",A1:CV300,88,FALSE)* 90)</f>
      </c>
      <c r="AX88" s="22048">
        <f>IF(HLOOKUP("Mins",A1:CV300,88,FALSE)=0,0,HLOOKUP("Bonus",A1:CV300,88,FALSE)/HLOOKUP("Mins",A1:CV300,88,FALSE)* 90)</f>
      </c>
      <c r="AY88" s="22049">
        <f>IF(HLOOKUP("Mins",A1:CV300,88,FALSE)=0,0,HLOOKUP("BPS",A1:CV300,88,FALSE)/HLOOKUP("Mins",A1:CV300,88,FALSE)* 90)</f>
      </c>
      <c r="AZ88" s="22050">
        <f>IF(HLOOKUP("Mins",A1:CV300,88,FALSE)=0,0,HLOOKUP("Base BPS",A1:CV300,88,FALSE)/HLOOKUP("Mins",A1:CV300,88,FALSE)* 90)</f>
      </c>
      <c r="BA88" s="22051">
        <f>IF(HLOOKUP("Mins",A1:CV300,88,FALSE)=0,0,HLOOKUP("PenTchs",A1:CV300,88,FALSE)/HLOOKUP("Mins",A1:CV300,88,FALSE)* 90)</f>
      </c>
      <c r="BB88" s="22052">
        <f>IF(HLOOKUP("Mins",A1:CV300,88,FALSE)=0,0,HLOOKUP("Shots",A1:CV300,88,FALSE)/HLOOKUP("Mins",A1:CV300,88,FALSE)* 90)</f>
      </c>
      <c r="BC88" s="22053">
        <f>IF(HLOOKUP("Mins",A1:CV300,88,FALSE)=0,0,HLOOKUP("SIB",A1:CV300,88,FALSE)/HLOOKUP("Mins",A1:CV300,88,FALSE)* 90)</f>
      </c>
      <c r="BD88" s="22054">
        <f>IF(HLOOKUP("Mins",A1:CV300,88,FALSE)=0,0,HLOOKUP("S6YD",A1:CV300,88,FALSE)/HLOOKUP("Mins",A1:CV300,88,FALSE)* 90)</f>
      </c>
      <c r="BE88" s="22055">
        <f>IF(HLOOKUP("Mins",A1:CV300,88,FALSE)=0,0,HLOOKUP("Headers",A1:CV300,88,FALSE)/HLOOKUP("Mins",A1:CV300,88,FALSE)* 90)</f>
      </c>
      <c r="BF88" s="22056">
        <f>IF(HLOOKUP("Mins",A1:CV300,88,FALSE)=0,0,HLOOKUP("SOT",A1:CV300,88,FALSE)/HLOOKUP("Mins",A1:CV300,88,FALSE)* 90)</f>
      </c>
      <c r="BG88" s="22057">
        <f>IF(HLOOKUP("Mins",A1:CV300,88,FALSE)=0,0,HLOOKUP("As",A1:CV300,88,FALSE)/HLOOKUP("Mins",A1:CV300,88,FALSE)* 90)</f>
      </c>
      <c r="BH88" s="22058">
        <f>IF(HLOOKUP("Mins",A1:CV300,88,FALSE)=0,0,HLOOKUP("FPL As",A1:CV300,88,FALSE)/HLOOKUP("Mins",A1:CV300,88,FALSE)* 90)</f>
      </c>
      <c r="BI88" s="22059">
        <f>IF(HLOOKUP("Mins",A1:CV300,88,FALSE)=0,0,HLOOKUP("BC Created",A1:CV300,88,FALSE)/HLOOKUP("Mins",A1:CV300,88,FALSE)* 90)</f>
      </c>
      <c r="BJ88" s="22060">
        <f>IF(HLOOKUP("Mins",A1:CV300,88,FALSE)=0,0,HLOOKUP("KP",A1:CV300,88,FALSE)/HLOOKUP("Mins",A1:CV300,88,FALSE)* 90)</f>
      </c>
      <c r="BK88" s="22061">
        <f>IF(HLOOKUP("Mins",A1:CV300,88,FALSE)=0,0,HLOOKUP("BC",A1:CV300,88,FALSE)/HLOOKUP("Mins",A1:CV300,88,FALSE)* 90)</f>
      </c>
      <c r="BL88" s="22062">
        <f>IF(HLOOKUP("Mins",A1:CV300,88,FALSE)=0,0,HLOOKUP("BC Miss",A1:CV300,88,FALSE)/HLOOKUP("Mins",A1:CV300,88,FALSE)* 90)</f>
      </c>
      <c r="BM88" s="22063">
        <f>IF(HLOOKUP("Mins",A1:CV300,88,FALSE)=0,0,HLOOKUP("Gs - BC",A1:CV300,88,FALSE)/HLOOKUP("Mins",A1:CV300,88,FALSE)* 90)</f>
      </c>
      <c r="BN88" s="22064">
        <f>IF(HLOOKUP("Mins",A1:CV300,88,FALSE)=0,0,HLOOKUP("GIB",A1:CV300,88,FALSE)/HLOOKUP("Mins",A1:CV300,88,FALSE)* 90)</f>
      </c>
      <c r="BO88" s="22065">
        <f>IF(HLOOKUP("Mins",A1:CV300,88,FALSE)=0,0,HLOOKUP("Gs - Open",A1:CV300,88,FALSE)/HLOOKUP("Mins",A1:CV300,88,FALSE)* 90)</f>
      </c>
      <c r="BP88" s="22066">
        <f>IF(HLOOKUP("Mins",A1:CV300,88,FALSE)=0,0,HLOOKUP("ICT Index",A1:CV300,88,FALSE)/HLOOKUP("Mins",A1:CV300,88,FALSE)* 90)</f>
      </c>
      <c r="BQ88" s="22067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2068">
        <f>0.0885*HLOOKUP("KP/90",A1:CV300,88,FALSE)</f>
      </c>
      <c r="BS88" s="22069">
        <f>5*HLOOKUP("xG/90",A1:CV300,88,FALSE)+3*HLOOKUP("xA/90",A1:CV300,88,FALSE)</f>
      </c>
      <c r="BT88" s="22070">
        <f>HLOOKUP("xPts/90",A1:CV300,88,FALSE)-(5*0.75*(HLOOKUP("PK Gs",A1:CV300,88,FALSE)+HLOOKUP("PK Miss",A1:CV300,88,FALSE))*90/HLOOKUP("Mins",A1:CV300,88,FALSE))</f>
      </c>
      <c r="BU88" s="22071">
        <f>IF(HLOOKUP("Mins",A1:CV300,88,FALSE)=0,0,HLOOKUP("fsXG",A1:CV300,88,FALSE)/HLOOKUP("Mins",A1:CV300,88,FALSE)* 90)</f>
      </c>
      <c r="BV88" s="22072">
        <f>IF(HLOOKUP("Mins",A1:CV300,88,FALSE)=0,0,HLOOKUP("fsXA",A1:CV300,88,FALSE)/HLOOKUP("Mins",A1:CV300,88,FALSE)* 90)</f>
      </c>
      <c r="BW88" s="22073">
        <f>5*HLOOKUP("fsXG/90",A1:CV300,88,FALSE)+3*HLOOKUP("fsXA/90",A1:CV300,88,FALSE)</f>
      </c>
      <c r="BX88" t="n" s="22074">
        <v>1.0681357383728027</v>
      </c>
      <c r="BY88" t="n" s="22075">
        <v>0.20479805767536163</v>
      </c>
      <c r="BZ88" s="22076">
        <f>5*HLOOKUP("uXG/90",A1:CV300,88,FALSE)+3*HLOOKUP("uXA/90",A1:CV300,88,FALSE)</f>
      </c>
    </row>
    <row r="89">
      <c r="A89" t="s" s="22077">
        <v>380</v>
      </c>
      <c r="B89" t="s" s="22078">
        <v>147</v>
      </c>
      <c r="C89" t="n" s="22079">
        <v>5.0</v>
      </c>
      <c r="D89" t="n" s="22080">
        <v>450.0</v>
      </c>
      <c r="E89" t="n" s="22081">
        <v>5.0</v>
      </c>
      <c r="F89" t="n" s="22082">
        <v>42.0</v>
      </c>
      <c r="G89" t="n" s="22083">
        <v>0.0</v>
      </c>
      <c r="H89" t="n" s="22084">
        <v>2.0</v>
      </c>
      <c r="I89" t="n" s="22085">
        <v>211.0</v>
      </c>
      <c r="J89" s="22086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2087">
        <v>0.0</v>
      </c>
      <c r="L89" t="n" s="22088">
        <v>2.0</v>
      </c>
      <c r="M89" t="n" s="22089">
        <v>10.0</v>
      </c>
      <c r="N89" t="n" s="22090">
        <v>3.0</v>
      </c>
      <c r="O89" t="n" s="22091">
        <v>0.0</v>
      </c>
      <c r="P89" s="22092">
        <f>IF(HLOOKUP("Shots",A1:CV300,89,FALSE)=0,0,HLOOKUP("SIB",A1:CV300,89,FALSE)/HLOOKUP("Shots",A1:CV300,89,FALSE))</f>
      </c>
      <c r="Q89" t="n" s="22093">
        <v>0.0</v>
      </c>
      <c r="R89" s="22094">
        <f>IF(HLOOKUP("Shots",A1:CV300,89,FALSE)=0,0,HLOOKUP("S6YD",A1:CV300,89,FALSE)/HLOOKUP("Shots",A1:CV300,89,FALSE))</f>
      </c>
      <c r="S89" t="n" s="22095">
        <v>0.0</v>
      </c>
      <c r="T89" s="22096">
        <f>IF(HLOOKUP("Shots",A1:CV300,89,FALSE)=0,0,HLOOKUP("Headers",A1:CV300,89,FALSE)/HLOOKUP("Shots",A1:CV300,89,FALSE))</f>
      </c>
      <c r="U89" t="n" s="22097">
        <v>1.0</v>
      </c>
      <c r="V89" s="22098">
        <f>IF(HLOOKUP("Shots",A1:CV300,89,FALSE)=0,0,HLOOKUP("SOT",A1:CV300,89,FALSE)/HLOOKUP("Shots",A1:CV300,89,FALSE))</f>
      </c>
      <c r="W89" s="22099">
        <f>IF(HLOOKUP("Shots",A1:CV300,89,FALSE)=0,0,HLOOKUP("Gs",A1:CV300,89,FALSE)/HLOOKUP("Shots",A1:CV300,89,FALSE))</f>
      </c>
      <c r="X89" t="n" s="22100">
        <v>0.0</v>
      </c>
      <c r="Y89" t="n" s="22101">
        <v>0.0</v>
      </c>
      <c r="Z89" t="n" s="22102">
        <v>7.0</v>
      </c>
      <c r="AA89" s="22103">
        <f>IF(HLOOKUP("KP",A1:CV300,89,FALSE)=0,0,HLOOKUP("As",A1:CV300,89,FALSE)/HLOOKUP("KP",A1:CV300,89,FALSE))</f>
      </c>
      <c r="AB89" s="22104"/>
      <c r="AC89" t="n" s="22105">
        <v>0.0</v>
      </c>
      <c r="AD89" t="n" s="22106">
        <v>0.0</v>
      </c>
      <c r="AE89" t="n" s="22107">
        <v>0.0</v>
      </c>
      <c r="AF89" t="n" s="22108">
        <v>0.0</v>
      </c>
      <c r="AG89" s="22109">
        <f>IF(HLOOKUP("BC",A1:CV300,89,FALSE)=0,0,HLOOKUP("Gs - BC",A1:CV300,89,FALSE)/HLOOKUP("BC",A1:CV300,89,FALSE))</f>
      </c>
      <c r="AH89" s="22110">
        <f>HLOOKUP("BC",A1:CV300,89,FALSE) - HLOOKUP("BC Miss",A1:CV300,89,FALSE)</f>
      </c>
      <c r="AI89" s="22111">
        <f>IF(HLOOKUP("Gs",A1:CV300,89,FALSE)=0,0,HLOOKUP("Gs - BC",A1:CV300,89,FALSE)/HLOOKUP("Gs",A1:CV300,89,FALSE))</f>
      </c>
      <c r="AJ89" t="n" s="22112">
        <v>0.0</v>
      </c>
      <c r="AK89" t="n" s="22113">
        <v>0.0</v>
      </c>
      <c r="AL89" s="22114">
        <f>HLOOKUP("BC",A1:CV300,89,FALSE) - (HLOOKUP("PK Gs",A1:CV300,89,FALSE) + HLOOKUP("PK Miss",A1:CV300,89,FALSE))</f>
      </c>
      <c r="AM89" s="22115">
        <f>HLOOKUP("BC Miss",A1:CV300,89,FALSE) - HLOOKUP("PK Miss",A1:CV300,89,FALSE)</f>
      </c>
      <c r="AN89" s="22116">
        <f>IF(HLOOKUP("BC - Open",A1:CV300,89,FALSE)=0,0,HLOOKUP("BC - Open Miss",A1:CV300,89,FALSE)/HLOOKUP("BC - Open",A1:CV300,89,FALSE))</f>
      </c>
      <c r="AO89" t="n" s="22117">
        <v>0.0</v>
      </c>
      <c r="AP89" s="22118">
        <f>IF(HLOOKUP("Gs",A1:CV300,89,FALSE)=0,0,HLOOKUP("GIB",A1:CV300,89,FALSE)/HLOOKUP("Gs",A1:CV300,89,FALSE))</f>
      </c>
      <c r="AQ89" t="n" s="22119">
        <v>0.0</v>
      </c>
      <c r="AR89" s="22120">
        <f>IF(HLOOKUP("Gs",A1:CV300,89,FALSE)=0,0,HLOOKUP("Gs - Open",A1:CV300,89,FALSE)/HLOOKUP("Gs",A1:CV300,89,FALSE))</f>
      </c>
      <c r="AS89" t="n" s="22121">
        <v>0.1</v>
      </c>
      <c r="AT89" t="n" s="22122">
        <v>0.37</v>
      </c>
      <c r="AU89" s="22123">
        <f>IF(HLOOKUP("Mins",A1:CV300,89,FALSE)=0,0,HLOOKUP("Pts",A1:CV300,89,FALSE)/HLOOKUP("Mins",A1:CV300,89,FALSE)* 90)</f>
      </c>
      <c r="AV89" s="22124">
        <f>IF(HLOOKUP("Apps",A1:CV300,89,FALSE)=0,0,HLOOKUP("Pts",A1:CV300,89,FALSE)/HLOOKUP("Apps",A1:CV300,89,FALSE)* 1)</f>
      </c>
      <c r="AW89" s="22125">
        <f>IF(HLOOKUP("Mins",A1:CV300,89,FALSE)=0,0,HLOOKUP("Gs",A1:CV300,89,FALSE)/HLOOKUP("Mins",A1:CV300,89,FALSE)* 90)</f>
      </c>
      <c r="AX89" s="22126">
        <f>IF(HLOOKUP("Mins",A1:CV300,89,FALSE)=0,0,HLOOKUP("Bonus",A1:CV300,89,FALSE)/HLOOKUP("Mins",A1:CV300,89,FALSE)* 90)</f>
      </c>
      <c r="AY89" s="22127">
        <f>IF(HLOOKUP("Mins",A1:CV300,89,FALSE)=0,0,HLOOKUP("BPS",A1:CV300,89,FALSE)/HLOOKUP("Mins",A1:CV300,89,FALSE)* 90)</f>
      </c>
      <c r="AZ89" s="22128">
        <f>IF(HLOOKUP("Mins",A1:CV300,89,FALSE)=0,0,HLOOKUP("Base BPS",A1:CV300,89,FALSE)/HLOOKUP("Mins",A1:CV300,89,FALSE)* 90)</f>
      </c>
      <c r="BA89" s="22129">
        <f>IF(HLOOKUP("Mins",A1:CV300,89,FALSE)=0,0,HLOOKUP("PenTchs",A1:CV300,89,FALSE)/HLOOKUP("Mins",A1:CV300,89,FALSE)* 90)</f>
      </c>
      <c r="BB89" s="22130">
        <f>IF(HLOOKUP("Mins",A1:CV300,89,FALSE)=0,0,HLOOKUP("Shots",A1:CV300,89,FALSE)/HLOOKUP("Mins",A1:CV300,89,FALSE)* 90)</f>
      </c>
      <c r="BC89" s="22131">
        <f>IF(HLOOKUP("Mins",A1:CV300,89,FALSE)=0,0,HLOOKUP("SIB",A1:CV300,89,FALSE)/HLOOKUP("Mins",A1:CV300,89,FALSE)* 90)</f>
      </c>
      <c r="BD89" s="22132">
        <f>IF(HLOOKUP("Mins",A1:CV300,89,FALSE)=0,0,HLOOKUP("S6YD",A1:CV300,89,FALSE)/HLOOKUP("Mins",A1:CV300,89,FALSE)* 90)</f>
      </c>
      <c r="BE89" s="22133">
        <f>IF(HLOOKUP("Mins",A1:CV300,89,FALSE)=0,0,HLOOKUP("Headers",A1:CV300,89,FALSE)/HLOOKUP("Mins",A1:CV300,89,FALSE)* 90)</f>
      </c>
      <c r="BF89" s="22134">
        <f>IF(HLOOKUP("Mins",A1:CV300,89,FALSE)=0,0,HLOOKUP("SOT",A1:CV300,89,FALSE)/HLOOKUP("Mins",A1:CV300,89,FALSE)* 90)</f>
      </c>
      <c r="BG89" s="22135">
        <f>IF(HLOOKUP("Mins",A1:CV300,89,FALSE)=0,0,HLOOKUP("As",A1:CV300,89,FALSE)/HLOOKUP("Mins",A1:CV300,89,FALSE)* 90)</f>
      </c>
      <c r="BH89" s="22136">
        <f>IF(HLOOKUP("Mins",A1:CV300,89,FALSE)=0,0,HLOOKUP("FPL As",A1:CV300,89,FALSE)/HLOOKUP("Mins",A1:CV300,89,FALSE)* 90)</f>
      </c>
      <c r="BI89" s="22137">
        <f>IF(HLOOKUP("Mins",A1:CV300,89,FALSE)=0,0,HLOOKUP("BC Created",A1:CV300,89,FALSE)/HLOOKUP("Mins",A1:CV300,89,FALSE)* 90)</f>
      </c>
      <c r="BJ89" s="22138">
        <f>IF(HLOOKUP("Mins",A1:CV300,89,FALSE)=0,0,HLOOKUP("KP",A1:CV300,89,FALSE)/HLOOKUP("Mins",A1:CV300,89,FALSE)* 90)</f>
      </c>
      <c r="BK89" s="22139">
        <f>IF(HLOOKUP("Mins",A1:CV300,89,FALSE)=0,0,HLOOKUP("BC",A1:CV300,89,FALSE)/HLOOKUP("Mins",A1:CV300,89,FALSE)* 90)</f>
      </c>
      <c r="BL89" s="22140">
        <f>IF(HLOOKUP("Mins",A1:CV300,89,FALSE)=0,0,HLOOKUP("BC Miss",A1:CV300,89,FALSE)/HLOOKUP("Mins",A1:CV300,89,FALSE)* 90)</f>
      </c>
      <c r="BM89" s="22141">
        <f>IF(HLOOKUP("Mins",A1:CV300,89,FALSE)=0,0,HLOOKUP("Gs - BC",A1:CV300,89,FALSE)/HLOOKUP("Mins",A1:CV300,89,FALSE)* 90)</f>
      </c>
      <c r="BN89" s="22142">
        <f>IF(HLOOKUP("Mins",A1:CV300,89,FALSE)=0,0,HLOOKUP("GIB",A1:CV300,89,FALSE)/HLOOKUP("Mins",A1:CV300,89,FALSE)* 90)</f>
      </c>
      <c r="BO89" s="22143">
        <f>IF(HLOOKUP("Mins",A1:CV300,89,FALSE)=0,0,HLOOKUP("Gs - Open",A1:CV300,89,FALSE)/HLOOKUP("Mins",A1:CV300,89,FALSE)* 90)</f>
      </c>
      <c r="BP89" s="22144">
        <f>IF(HLOOKUP("Mins",A1:CV300,89,FALSE)=0,0,HLOOKUP("ICT Index",A1:CV300,89,FALSE)/HLOOKUP("Mins",A1:CV300,89,FALSE)* 90)</f>
      </c>
      <c r="BQ89" s="22145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2146">
        <f>0.0885*HLOOKUP("KP/90",A1:CV300,89,FALSE)</f>
      </c>
      <c r="BS89" s="22147">
        <f>5*HLOOKUP("xG/90",A1:CV300,89,FALSE)+3*HLOOKUP("xA/90",A1:CV300,89,FALSE)</f>
      </c>
      <c r="BT89" s="22148">
        <f>HLOOKUP("xPts/90",A1:CV300,89,FALSE)-(5*0.75*(HLOOKUP("PK Gs",A1:CV300,89,FALSE)+HLOOKUP("PK Miss",A1:CV300,89,FALSE))*90/HLOOKUP("Mins",A1:CV300,89,FALSE))</f>
      </c>
      <c r="BU89" s="22149">
        <f>IF(HLOOKUP("Mins",A1:CV300,89,FALSE)=0,0,HLOOKUP("fsXG",A1:CV300,89,FALSE)/HLOOKUP("Mins",A1:CV300,89,FALSE)* 90)</f>
      </c>
      <c r="BV89" s="22150">
        <f>IF(HLOOKUP("Mins",A1:CV300,89,FALSE)=0,0,HLOOKUP("fsXA",A1:CV300,89,FALSE)/HLOOKUP("Mins",A1:CV300,89,FALSE)* 90)</f>
      </c>
      <c r="BW89" s="22151">
        <f>5*HLOOKUP("fsXG/90",A1:CV300,89,FALSE)+3*HLOOKUP("fsXA/90",A1:CV300,89,FALSE)</f>
      </c>
      <c r="BX89" t="n" s="22152">
        <v>0.02187512442469597</v>
      </c>
      <c r="BY89" t="n" s="22153">
        <v>0.0678638443350792</v>
      </c>
      <c r="BZ89" s="22154">
        <f>5*HLOOKUP("uXG/90",A1:CV300,89,FALSE)+3*HLOOKUP("uXA/90",A1:CV300,89,FALSE)</f>
      </c>
    </row>
    <row r="90">
      <c r="A90" t="s" s="22155">
        <v>381</v>
      </c>
      <c r="B90" t="s" s="22156">
        <v>82</v>
      </c>
      <c r="C90" t="n" s="22157">
        <v>5.099999904632568</v>
      </c>
      <c r="D90" t="n" s="22158">
        <v>206.0</v>
      </c>
      <c r="E90" t="n" s="22159">
        <v>5.0</v>
      </c>
      <c r="F90" t="n" s="22160">
        <v>24.0</v>
      </c>
      <c r="G90" t="n" s="22161">
        <v>1.0</v>
      </c>
      <c r="H90" t="n" s="22162">
        <v>0.0</v>
      </c>
      <c r="I90" t="n" s="22163">
        <v>80.0</v>
      </c>
      <c r="J90" s="22164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2165">
        <v>0.0</v>
      </c>
      <c r="L90" t="n" s="22166">
        <v>0.0</v>
      </c>
      <c r="M90" t="n" s="22167">
        <v>18.0</v>
      </c>
      <c r="N90" t="n" s="22168">
        <v>7.0</v>
      </c>
      <c r="O90" t="n" s="22169">
        <v>6.0</v>
      </c>
      <c r="P90" s="22170">
        <f>IF(HLOOKUP("Shots",A1:CV300,90,FALSE)=0,0,HLOOKUP("SIB",A1:CV300,90,FALSE)/HLOOKUP("Shots",A1:CV300,90,FALSE))</f>
      </c>
      <c r="Q90" t="n" s="22171">
        <v>0.0</v>
      </c>
      <c r="R90" s="22172">
        <f>IF(HLOOKUP("Shots",A1:CV300,90,FALSE)=0,0,HLOOKUP("S6YD",A1:CV300,90,FALSE)/HLOOKUP("Shots",A1:CV300,90,FALSE))</f>
      </c>
      <c r="S90" t="n" s="22173">
        <v>0.0</v>
      </c>
      <c r="T90" s="22174">
        <f>IF(HLOOKUP("Shots",A1:CV300,90,FALSE)=0,0,HLOOKUP("Headers",A1:CV300,90,FALSE)/HLOOKUP("Shots",A1:CV300,90,FALSE))</f>
      </c>
      <c r="U90" t="n" s="22175">
        <v>3.0</v>
      </c>
      <c r="V90" s="22176">
        <f>IF(HLOOKUP("Shots",A1:CV300,90,FALSE)=0,0,HLOOKUP("SOT",A1:CV300,90,FALSE)/HLOOKUP("Shots",A1:CV300,90,FALSE))</f>
      </c>
      <c r="W90" s="22177">
        <f>IF(HLOOKUP("Shots",A1:CV300,90,FALSE)=0,0,HLOOKUP("Gs",A1:CV300,90,FALSE)/HLOOKUP("Shots",A1:CV300,90,FALSE))</f>
      </c>
      <c r="X90" t="n" s="22178">
        <v>0.0</v>
      </c>
      <c r="Y90" t="n" s="22179">
        <v>2.0</v>
      </c>
      <c r="Z90" t="n" s="22180">
        <v>1.0</v>
      </c>
      <c r="AA90" s="22181">
        <f>IF(HLOOKUP("KP",A1:CV300,90,FALSE)=0,0,HLOOKUP("As",A1:CV300,90,FALSE)/HLOOKUP("KP",A1:CV300,90,FALSE))</f>
      </c>
      <c r="AB90" s="22182"/>
      <c r="AC90" t="n" s="22183">
        <v>33.0</v>
      </c>
      <c r="AD90" t="n" s="22184">
        <v>1.0</v>
      </c>
      <c r="AE90" t="n" s="22185">
        <v>2.0</v>
      </c>
      <c r="AF90" t="n" s="22186">
        <v>1.0</v>
      </c>
      <c r="AG90" s="22187">
        <f>IF(HLOOKUP("BC",A1:CV300,90,FALSE)=0,0,HLOOKUP("Gs - BC",A1:CV300,90,FALSE)/HLOOKUP("BC",A1:CV300,90,FALSE))</f>
      </c>
      <c r="AH90" s="22188">
        <f>HLOOKUP("BC",A1:CV300,90,FALSE) - HLOOKUP("BC Miss",A1:CV300,90,FALSE)</f>
      </c>
      <c r="AI90" s="22189">
        <f>IF(HLOOKUP("Gs",A1:CV300,90,FALSE)=0,0,HLOOKUP("Gs - BC",A1:CV300,90,FALSE)/HLOOKUP("Gs",A1:CV300,90,FALSE))</f>
      </c>
      <c r="AJ90" t="n" s="22190">
        <v>0.0</v>
      </c>
      <c r="AK90" t="n" s="22191">
        <v>1.0</v>
      </c>
      <c r="AL90" s="22192">
        <f>HLOOKUP("BC",A1:CV300,90,FALSE) - (HLOOKUP("PK Gs",A1:CV300,90,FALSE) + HLOOKUP("PK Miss",A1:CV300,90,FALSE))</f>
      </c>
      <c r="AM90" s="22193">
        <f>HLOOKUP("BC Miss",A1:CV300,90,FALSE) - HLOOKUP("PK Miss",A1:CV300,90,FALSE)</f>
      </c>
      <c r="AN90" s="22194">
        <f>IF(HLOOKUP("BC - Open",A1:CV300,90,FALSE)=0,0,HLOOKUP("BC - Open Miss",A1:CV300,90,FALSE)/HLOOKUP("BC - Open",A1:CV300,90,FALSE))</f>
      </c>
      <c r="AO90" t="n" s="22195">
        <v>1.0</v>
      </c>
      <c r="AP90" s="22196">
        <f>IF(HLOOKUP("Gs",A1:CV300,90,FALSE)=0,0,HLOOKUP("GIB",A1:CV300,90,FALSE)/HLOOKUP("Gs",A1:CV300,90,FALSE))</f>
      </c>
      <c r="AQ90" t="n" s="22197">
        <v>1.0</v>
      </c>
      <c r="AR90" s="22198">
        <f>IF(HLOOKUP("Gs",A1:CV300,90,FALSE)=0,0,HLOOKUP("Gs - Open",A1:CV300,90,FALSE)/HLOOKUP("Gs",A1:CV300,90,FALSE))</f>
      </c>
      <c r="AS90" t="n" s="22199">
        <v>1.6</v>
      </c>
      <c r="AT90" t="n" s="22200">
        <v>0.56</v>
      </c>
      <c r="AU90" s="22201">
        <f>IF(HLOOKUP("Mins",A1:CV300,90,FALSE)=0,0,HLOOKUP("Pts",A1:CV300,90,FALSE)/HLOOKUP("Mins",A1:CV300,90,FALSE)* 90)</f>
      </c>
      <c r="AV90" s="22202">
        <f>IF(HLOOKUP("Apps",A1:CV300,90,FALSE)=0,0,HLOOKUP("Pts",A1:CV300,90,FALSE)/HLOOKUP("Apps",A1:CV300,90,FALSE)* 1)</f>
      </c>
      <c r="AW90" s="22203">
        <f>IF(HLOOKUP("Mins",A1:CV300,90,FALSE)=0,0,HLOOKUP("Gs",A1:CV300,90,FALSE)/HLOOKUP("Mins",A1:CV300,90,FALSE)* 90)</f>
      </c>
      <c r="AX90" s="22204">
        <f>IF(HLOOKUP("Mins",A1:CV300,90,FALSE)=0,0,HLOOKUP("Bonus",A1:CV300,90,FALSE)/HLOOKUP("Mins",A1:CV300,90,FALSE)* 90)</f>
      </c>
      <c r="AY90" s="22205">
        <f>IF(HLOOKUP("Mins",A1:CV300,90,FALSE)=0,0,HLOOKUP("BPS",A1:CV300,90,FALSE)/HLOOKUP("Mins",A1:CV300,90,FALSE)* 90)</f>
      </c>
      <c r="AZ90" s="22206">
        <f>IF(HLOOKUP("Mins",A1:CV300,90,FALSE)=0,0,HLOOKUP("Base BPS",A1:CV300,90,FALSE)/HLOOKUP("Mins",A1:CV300,90,FALSE)* 90)</f>
      </c>
      <c r="BA90" s="22207">
        <f>IF(HLOOKUP("Mins",A1:CV300,90,FALSE)=0,0,HLOOKUP("PenTchs",A1:CV300,90,FALSE)/HLOOKUP("Mins",A1:CV300,90,FALSE)* 90)</f>
      </c>
      <c r="BB90" s="22208">
        <f>IF(HLOOKUP("Mins",A1:CV300,90,FALSE)=0,0,HLOOKUP("Shots",A1:CV300,90,FALSE)/HLOOKUP("Mins",A1:CV300,90,FALSE)* 90)</f>
      </c>
      <c r="BC90" s="22209">
        <f>IF(HLOOKUP("Mins",A1:CV300,90,FALSE)=0,0,HLOOKUP("SIB",A1:CV300,90,FALSE)/HLOOKUP("Mins",A1:CV300,90,FALSE)* 90)</f>
      </c>
      <c r="BD90" s="22210">
        <f>IF(HLOOKUP("Mins",A1:CV300,90,FALSE)=0,0,HLOOKUP("S6YD",A1:CV300,90,FALSE)/HLOOKUP("Mins",A1:CV300,90,FALSE)* 90)</f>
      </c>
      <c r="BE90" s="22211">
        <f>IF(HLOOKUP("Mins",A1:CV300,90,FALSE)=0,0,HLOOKUP("Headers",A1:CV300,90,FALSE)/HLOOKUP("Mins",A1:CV300,90,FALSE)* 90)</f>
      </c>
      <c r="BF90" s="22212">
        <f>IF(HLOOKUP("Mins",A1:CV300,90,FALSE)=0,0,HLOOKUP("SOT",A1:CV300,90,FALSE)/HLOOKUP("Mins",A1:CV300,90,FALSE)* 90)</f>
      </c>
      <c r="BG90" s="22213">
        <f>IF(HLOOKUP("Mins",A1:CV300,90,FALSE)=0,0,HLOOKUP("As",A1:CV300,90,FALSE)/HLOOKUP("Mins",A1:CV300,90,FALSE)* 90)</f>
      </c>
      <c r="BH90" s="22214">
        <f>IF(HLOOKUP("Mins",A1:CV300,90,FALSE)=0,0,HLOOKUP("FPL As",A1:CV300,90,FALSE)/HLOOKUP("Mins",A1:CV300,90,FALSE)* 90)</f>
      </c>
      <c r="BI90" s="22215">
        <f>IF(HLOOKUP("Mins",A1:CV300,90,FALSE)=0,0,HLOOKUP("BC Created",A1:CV300,90,FALSE)/HLOOKUP("Mins",A1:CV300,90,FALSE)* 90)</f>
      </c>
      <c r="BJ90" s="22216">
        <f>IF(HLOOKUP("Mins",A1:CV300,90,FALSE)=0,0,HLOOKUP("KP",A1:CV300,90,FALSE)/HLOOKUP("Mins",A1:CV300,90,FALSE)* 90)</f>
      </c>
      <c r="BK90" s="22217">
        <f>IF(HLOOKUP("Mins",A1:CV300,90,FALSE)=0,0,HLOOKUP("BC",A1:CV300,90,FALSE)/HLOOKUP("Mins",A1:CV300,90,FALSE)* 90)</f>
      </c>
      <c r="BL90" s="22218">
        <f>IF(HLOOKUP("Mins",A1:CV300,90,FALSE)=0,0,HLOOKUP("BC Miss",A1:CV300,90,FALSE)/HLOOKUP("Mins",A1:CV300,90,FALSE)* 90)</f>
      </c>
      <c r="BM90" s="22219">
        <f>IF(HLOOKUP("Mins",A1:CV300,90,FALSE)=0,0,HLOOKUP("Gs - BC",A1:CV300,90,FALSE)/HLOOKUP("Mins",A1:CV300,90,FALSE)* 90)</f>
      </c>
      <c r="BN90" s="22220">
        <f>IF(HLOOKUP("Mins",A1:CV300,90,FALSE)=0,0,HLOOKUP("GIB",A1:CV300,90,FALSE)/HLOOKUP("Mins",A1:CV300,90,FALSE)* 90)</f>
      </c>
      <c r="BO90" s="22221">
        <f>IF(HLOOKUP("Mins",A1:CV300,90,FALSE)=0,0,HLOOKUP("Gs - Open",A1:CV300,90,FALSE)/HLOOKUP("Mins",A1:CV300,90,FALSE)* 90)</f>
      </c>
      <c r="BP90" s="22222">
        <f>IF(HLOOKUP("Mins",A1:CV300,90,FALSE)=0,0,HLOOKUP("ICT Index",A1:CV300,90,FALSE)/HLOOKUP("Mins",A1:CV300,90,FALSE)* 90)</f>
      </c>
      <c r="BQ90" s="22223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2224">
        <f>0.0885*HLOOKUP("KP/90",A1:CV300,90,FALSE)</f>
      </c>
      <c r="BS90" s="22225">
        <f>5*HLOOKUP("xG/90",A1:CV300,90,FALSE)+3*HLOOKUP("xA/90",A1:CV300,90,FALSE)</f>
      </c>
      <c r="BT90" s="22226">
        <f>HLOOKUP("xPts/90",A1:CV300,90,FALSE)-(5*0.75*(HLOOKUP("PK Gs",A1:CV300,90,FALSE)+HLOOKUP("PK Miss",A1:CV300,90,FALSE))*90/HLOOKUP("Mins",A1:CV300,90,FALSE))</f>
      </c>
      <c r="BU90" s="22227">
        <f>IF(HLOOKUP("Mins",A1:CV300,90,FALSE)=0,0,HLOOKUP("fsXG",A1:CV300,90,FALSE)/HLOOKUP("Mins",A1:CV300,90,FALSE)* 90)</f>
      </c>
      <c r="BV90" s="22228">
        <f>IF(HLOOKUP("Mins",A1:CV300,90,FALSE)=0,0,HLOOKUP("fsXA",A1:CV300,90,FALSE)/HLOOKUP("Mins",A1:CV300,90,FALSE)* 90)</f>
      </c>
      <c r="BW90" s="22229">
        <f>5*HLOOKUP("fsXG/90",A1:CV300,90,FALSE)+3*HLOOKUP("fsXA/90",A1:CV300,90,FALSE)</f>
      </c>
      <c r="BX90" t="n" s="22230">
        <v>0.7025604248046875</v>
      </c>
      <c r="BY90" t="n" s="22231">
        <v>0.20089523494243622</v>
      </c>
      <c r="BZ90" s="22232">
        <f>5*HLOOKUP("uXG/90",A1:CV300,90,FALSE)+3*HLOOKUP("uXA/90",A1:CV300,90,FALSE)</f>
      </c>
    </row>
    <row r="91">
      <c r="A91" t="s" s="22233">
        <v>382</v>
      </c>
      <c r="B91" t="s" s="22234">
        <v>127</v>
      </c>
      <c r="C91" t="n" s="22235">
        <v>5.400000095367432</v>
      </c>
      <c r="D91" t="n" s="22236">
        <v>415.0</v>
      </c>
      <c r="E91" t="n" s="22237">
        <v>5.0</v>
      </c>
      <c r="F91" t="n" s="22238">
        <v>60.0</v>
      </c>
      <c r="G91" t="n" s="22239">
        <v>0.0</v>
      </c>
      <c r="H91" t="n" s="22240">
        <v>3.0</v>
      </c>
      <c r="I91" t="n" s="22241">
        <v>267.0</v>
      </c>
      <c r="J91" s="22242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2243">
        <v>0.0</v>
      </c>
      <c r="L91" t="n" s="22244">
        <v>8.0</v>
      </c>
      <c r="M91" t="n" s="22245">
        <v>11.0</v>
      </c>
      <c r="N91" t="n" s="22246">
        <v>5.0</v>
      </c>
      <c r="O91" t="n" s="22247">
        <v>5.0</v>
      </c>
      <c r="P91" s="22248">
        <f>IF(HLOOKUP("Shots",A1:CV300,91,FALSE)=0,0,HLOOKUP("SIB",A1:CV300,91,FALSE)/HLOOKUP("Shots",A1:CV300,91,FALSE))</f>
      </c>
      <c r="Q91" t="n" s="22249">
        <v>0.0</v>
      </c>
      <c r="R91" s="22250">
        <f>IF(HLOOKUP("Shots",A1:CV300,91,FALSE)=0,0,HLOOKUP("S6YD",A1:CV300,91,FALSE)/HLOOKUP("Shots",A1:CV300,91,FALSE))</f>
      </c>
      <c r="S91" t="n" s="22251">
        <v>3.0</v>
      </c>
      <c r="T91" s="22252">
        <f>IF(HLOOKUP("Shots",A1:CV300,91,FALSE)=0,0,HLOOKUP("Headers",A1:CV300,91,FALSE)/HLOOKUP("Shots",A1:CV300,91,FALSE))</f>
      </c>
      <c r="U91" t="n" s="22253">
        <v>1.0</v>
      </c>
      <c r="V91" s="22254">
        <f>IF(HLOOKUP("Shots",A1:CV300,91,FALSE)=0,0,HLOOKUP("SOT",A1:CV300,91,FALSE)/HLOOKUP("Shots",A1:CV300,91,FALSE))</f>
      </c>
      <c r="W91" s="22255">
        <f>IF(HLOOKUP("Shots",A1:CV300,91,FALSE)=0,0,HLOOKUP("Gs",A1:CV300,91,FALSE)/HLOOKUP("Shots",A1:CV300,91,FALSE))</f>
      </c>
      <c r="X91" t="n" s="22256">
        <v>0.0</v>
      </c>
      <c r="Y91" t="n" s="22257">
        <v>0.0</v>
      </c>
      <c r="Z91" t="n" s="22258">
        <v>0.0</v>
      </c>
      <c r="AA91" s="22259">
        <f>IF(HLOOKUP("KP",A1:CV300,91,FALSE)=0,0,HLOOKUP("As",A1:CV300,91,FALSE)/HLOOKUP("KP",A1:CV300,91,FALSE))</f>
      </c>
      <c r="AB91" s="22260"/>
      <c r="AC91" t="n" s="22261">
        <v>0.0</v>
      </c>
      <c r="AD91" t="n" s="22262">
        <v>0.0</v>
      </c>
      <c r="AE91" t="n" s="22263">
        <v>0.0</v>
      </c>
      <c r="AF91" t="n" s="22264">
        <v>0.0</v>
      </c>
      <c r="AG91" s="22265">
        <f>IF(HLOOKUP("BC",A1:CV300,91,FALSE)=0,0,HLOOKUP("Gs - BC",A1:CV300,91,FALSE)/HLOOKUP("BC",A1:CV300,91,FALSE))</f>
      </c>
      <c r="AH91" s="22266">
        <f>HLOOKUP("BC",A1:CV300,91,FALSE) - HLOOKUP("BC Miss",A1:CV300,91,FALSE)</f>
      </c>
      <c r="AI91" s="22267">
        <f>IF(HLOOKUP("Gs",A1:CV300,91,FALSE)=0,0,HLOOKUP("Gs - BC",A1:CV300,91,FALSE)/HLOOKUP("Gs",A1:CV300,91,FALSE))</f>
      </c>
      <c r="AJ91" t="n" s="22268">
        <v>0.0</v>
      </c>
      <c r="AK91" t="n" s="22269">
        <v>0.0</v>
      </c>
      <c r="AL91" s="22270">
        <f>HLOOKUP("BC",A1:CV300,91,FALSE) - (HLOOKUP("PK Gs",A1:CV300,91,FALSE) + HLOOKUP("PK Miss",A1:CV300,91,FALSE))</f>
      </c>
      <c r="AM91" s="22271">
        <f>HLOOKUP("BC Miss",A1:CV300,91,FALSE) - HLOOKUP("PK Miss",A1:CV300,91,FALSE)</f>
      </c>
      <c r="AN91" s="22272">
        <f>IF(HLOOKUP("BC - Open",A1:CV300,91,FALSE)=0,0,HLOOKUP("BC - Open Miss",A1:CV300,91,FALSE)/HLOOKUP("BC - Open",A1:CV300,91,FALSE))</f>
      </c>
      <c r="AO91" t="n" s="22273">
        <v>0.0</v>
      </c>
      <c r="AP91" s="22274">
        <f>IF(HLOOKUP("Gs",A1:CV300,91,FALSE)=0,0,HLOOKUP("GIB",A1:CV300,91,FALSE)/HLOOKUP("Gs",A1:CV300,91,FALSE))</f>
      </c>
      <c r="AQ91" t="n" s="22275">
        <v>0.0</v>
      </c>
      <c r="AR91" s="22276">
        <f>IF(HLOOKUP("Gs",A1:CV300,91,FALSE)=0,0,HLOOKUP("Gs - Open",A1:CV300,91,FALSE)/HLOOKUP("Gs",A1:CV300,91,FALSE))</f>
      </c>
      <c r="AS91" t="n" s="22277">
        <v>0.28</v>
      </c>
      <c r="AT91" t="n" s="22278">
        <v>0.14</v>
      </c>
      <c r="AU91" s="22279">
        <f>IF(HLOOKUP("Mins",A1:CV300,91,FALSE)=0,0,HLOOKUP("Pts",A1:CV300,91,FALSE)/HLOOKUP("Mins",A1:CV300,91,FALSE)* 90)</f>
      </c>
      <c r="AV91" s="22280">
        <f>IF(HLOOKUP("Apps",A1:CV300,91,FALSE)=0,0,HLOOKUP("Pts",A1:CV300,91,FALSE)/HLOOKUP("Apps",A1:CV300,91,FALSE)* 1)</f>
      </c>
      <c r="AW91" s="22281">
        <f>IF(HLOOKUP("Mins",A1:CV300,91,FALSE)=0,0,HLOOKUP("Gs",A1:CV300,91,FALSE)/HLOOKUP("Mins",A1:CV300,91,FALSE)* 90)</f>
      </c>
      <c r="AX91" s="22282">
        <f>IF(HLOOKUP("Mins",A1:CV300,91,FALSE)=0,0,HLOOKUP("Bonus",A1:CV300,91,FALSE)/HLOOKUP("Mins",A1:CV300,91,FALSE)* 90)</f>
      </c>
      <c r="AY91" s="22283">
        <f>IF(HLOOKUP("Mins",A1:CV300,91,FALSE)=0,0,HLOOKUP("BPS",A1:CV300,91,FALSE)/HLOOKUP("Mins",A1:CV300,91,FALSE)* 90)</f>
      </c>
      <c r="AZ91" s="22284">
        <f>IF(HLOOKUP("Mins",A1:CV300,91,FALSE)=0,0,HLOOKUP("Base BPS",A1:CV300,91,FALSE)/HLOOKUP("Mins",A1:CV300,91,FALSE)* 90)</f>
      </c>
      <c r="BA91" s="22285">
        <f>IF(HLOOKUP("Mins",A1:CV300,91,FALSE)=0,0,HLOOKUP("PenTchs",A1:CV300,91,FALSE)/HLOOKUP("Mins",A1:CV300,91,FALSE)* 90)</f>
      </c>
      <c r="BB91" s="22286">
        <f>IF(HLOOKUP("Mins",A1:CV300,91,FALSE)=0,0,HLOOKUP("Shots",A1:CV300,91,FALSE)/HLOOKUP("Mins",A1:CV300,91,FALSE)* 90)</f>
      </c>
      <c r="BC91" s="22287">
        <f>IF(HLOOKUP("Mins",A1:CV300,91,FALSE)=0,0,HLOOKUP("SIB",A1:CV300,91,FALSE)/HLOOKUP("Mins",A1:CV300,91,FALSE)* 90)</f>
      </c>
      <c r="BD91" s="22288">
        <f>IF(HLOOKUP("Mins",A1:CV300,91,FALSE)=0,0,HLOOKUP("S6YD",A1:CV300,91,FALSE)/HLOOKUP("Mins",A1:CV300,91,FALSE)* 90)</f>
      </c>
      <c r="BE91" s="22289">
        <f>IF(HLOOKUP("Mins",A1:CV300,91,FALSE)=0,0,HLOOKUP("Headers",A1:CV300,91,FALSE)/HLOOKUP("Mins",A1:CV300,91,FALSE)* 90)</f>
      </c>
      <c r="BF91" s="22290">
        <f>IF(HLOOKUP("Mins",A1:CV300,91,FALSE)=0,0,HLOOKUP("SOT",A1:CV300,91,FALSE)/HLOOKUP("Mins",A1:CV300,91,FALSE)* 90)</f>
      </c>
      <c r="BG91" s="22291">
        <f>IF(HLOOKUP("Mins",A1:CV300,91,FALSE)=0,0,HLOOKUP("As",A1:CV300,91,FALSE)/HLOOKUP("Mins",A1:CV300,91,FALSE)* 90)</f>
      </c>
      <c r="BH91" s="22292">
        <f>IF(HLOOKUP("Mins",A1:CV300,91,FALSE)=0,0,HLOOKUP("FPL As",A1:CV300,91,FALSE)/HLOOKUP("Mins",A1:CV300,91,FALSE)* 90)</f>
      </c>
      <c r="BI91" s="22293">
        <f>IF(HLOOKUP("Mins",A1:CV300,91,FALSE)=0,0,HLOOKUP("BC Created",A1:CV300,91,FALSE)/HLOOKUP("Mins",A1:CV300,91,FALSE)* 90)</f>
      </c>
      <c r="BJ91" s="22294">
        <f>IF(HLOOKUP("Mins",A1:CV300,91,FALSE)=0,0,HLOOKUP("KP",A1:CV300,91,FALSE)/HLOOKUP("Mins",A1:CV300,91,FALSE)* 90)</f>
      </c>
      <c r="BK91" s="22295">
        <f>IF(HLOOKUP("Mins",A1:CV300,91,FALSE)=0,0,HLOOKUP("BC",A1:CV300,91,FALSE)/HLOOKUP("Mins",A1:CV300,91,FALSE)* 90)</f>
      </c>
      <c r="BL91" s="22296">
        <f>IF(HLOOKUP("Mins",A1:CV300,91,FALSE)=0,0,HLOOKUP("BC Miss",A1:CV300,91,FALSE)/HLOOKUP("Mins",A1:CV300,91,FALSE)* 90)</f>
      </c>
      <c r="BM91" s="22297">
        <f>IF(HLOOKUP("Mins",A1:CV300,91,FALSE)=0,0,HLOOKUP("Gs - BC",A1:CV300,91,FALSE)/HLOOKUP("Mins",A1:CV300,91,FALSE)* 90)</f>
      </c>
      <c r="BN91" s="22298">
        <f>IF(HLOOKUP("Mins",A1:CV300,91,FALSE)=0,0,HLOOKUP("GIB",A1:CV300,91,FALSE)/HLOOKUP("Mins",A1:CV300,91,FALSE)* 90)</f>
      </c>
      <c r="BO91" s="22299">
        <f>IF(HLOOKUP("Mins",A1:CV300,91,FALSE)=0,0,HLOOKUP("Gs - Open",A1:CV300,91,FALSE)/HLOOKUP("Mins",A1:CV300,91,FALSE)* 90)</f>
      </c>
      <c r="BP91" s="22300">
        <f>IF(HLOOKUP("Mins",A1:CV300,91,FALSE)=0,0,HLOOKUP("ICT Index",A1:CV300,91,FALSE)/HLOOKUP("Mins",A1:CV300,91,FALSE)* 90)</f>
      </c>
      <c r="BQ91" s="22301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2302">
        <f>0.0885*HLOOKUP("KP/90",A1:CV300,91,FALSE)</f>
      </c>
      <c r="BS91" s="22303">
        <f>5*HLOOKUP("xG/90",A1:CV300,91,FALSE)+3*HLOOKUP("xA/90",A1:CV300,91,FALSE)</f>
      </c>
      <c r="BT91" s="22304">
        <f>HLOOKUP("xPts/90",A1:CV300,91,FALSE)-(5*0.75*(HLOOKUP("PK Gs",A1:CV300,91,FALSE)+HLOOKUP("PK Miss",A1:CV300,91,FALSE))*90/HLOOKUP("Mins",A1:CV300,91,FALSE))</f>
      </c>
      <c r="BU91" s="22305">
        <f>IF(HLOOKUP("Mins",A1:CV300,91,FALSE)=0,0,HLOOKUP("fsXG",A1:CV300,91,FALSE)/HLOOKUP("Mins",A1:CV300,91,FALSE)* 90)</f>
      </c>
      <c r="BV91" s="22306">
        <f>IF(HLOOKUP("Mins",A1:CV300,91,FALSE)=0,0,HLOOKUP("fsXA",A1:CV300,91,FALSE)/HLOOKUP("Mins",A1:CV300,91,FALSE)* 90)</f>
      </c>
      <c r="BW91" s="22307">
        <f>5*HLOOKUP("fsXG/90",A1:CV300,91,FALSE)+3*HLOOKUP("fsXA/90",A1:CV300,91,FALSE)</f>
      </c>
      <c r="BX91" t="n" s="22308">
        <v>0.06405185163021088</v>
      </c>
      <c r="BY91" t="n" s="22309">
        <v>0.0</v>
      </c>
      <c r="BZ91" s="22310">
        <f>5*HLOOKUP("uXG/90",A1:CV300,91,FALSE)+3*HLOOKUP("uXA/90",A1:CV300,91,FALSE)</f>
      </c>
    </row>
    <row r="92">
      <c r="A92" t="s" s="22311">
        <v>383</v>
      </c>
      <c r="B92" t="s" s="22312">
        <v>147</v>
      </c>
      <c r="C92" t="n" s="22313">
        <v>7.199999809265137</v>
      </c>
      <c r="D92" t="n" s="22314">
        <v>509.0</v>
      </c>
      <c r="E92" t="n" s="22315">
        <v>6.0</v>
      </c>
      <c r="F92" t="n" s="22316">
        <v>92.0</v>
      </c>
      <c r="G92" t="n" s="22317">
        <v>2.0</v>
      </c>
      <c r="H92" t="n" s="22318">
        <v>14.0</v>
      </c>
      <c r="I92" t="n" s="22319">
        <v>396.0</v>
      </c>
      <c r="J92" s="22320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2321">
        <v>0.0</v>
      </c>
      <c r="L92" t="n" s="22322">
        <v>7.0</v>
      </c>
      <c r="M92" t="n" s="22323">
        <v>22.0</v>
      </c>
      <c r="N92" t="n" s="22324">
        <v>10.0</v>
      </c>
      <c r="O92" t="n" s="22325">
        <v>8.0</v>
      </c>
      <c r="P92" s="22326">
        <f>IF(HLOOKUP("Shots",A1:CV300,92,FALSE)=0,0,HLOOKUP("SIB",A1:CV300,92,FALSE)/HLOOKUP("Shots",A1:CV300,92,FALSE))</f>
      </c>
      <c r="Q92" t="n" s="22327">
        <v>0.0</v>
      </c>
      <c r="R92" s="22328">
        <f>IF(HLOOKUP("Shots",A1:CV300,92,FALSE)=0,0,HLOOKUP("S6YD",A1:CV300,92,FALSE)/HLOOKUP("Shots",A1:CV300,92,FALSE))</f>
      </c>
      <c r="S92" t="n" s="22329">
        <v>0.0</v>
      </c>
      <c r="T92" s="22330">
        <f>IF(HLOOKUP("Shots",A1:CV300,92,FALSE)=0,0,HLOOKUP("Headers",A1:CV300,92,FALSE)/HLOOKUP("Shots",A1:CV300,92,FALSE))</f>
      </c>
      <c r="U92" t="n" s="22331">
        <v>3.0</v>
      </c>
      <c r="V92" s="22332">
        <f>IF(HLOOKUP("Shots",A1:CV300,92,FALSE)=0,0,HLOOKUP("SOT",A1:CV300,92,FALSE)/HLOOKUP("Shots",A1:CV300,92,FALSE))</f>
      </c>
      <c r="W92" s="22333">
        <f>IF(HLOOKUP("Shots",A1:CV300,92,FALSE)=0,0,HLOOKUP("Gs",A1:CV300,92,FALSE)/HLOOKUP("Shots",A1:CV300,92,FALSE))</f>
      </c>
      <c r="X92" t="n" s="22334">
        <v>1.0</v>
      </c>
      <c r="Y92" t="n" s="22335">
        <v>5.0</v>
      </c>
      <c r="Z92" t="n" s="22336">
        <v>20.0</v>
      </c>
      <c r="AA92" s="22337">
        <f>IF(HLOOKUP("KP",A1:CV300,92,FALSE)=0,0,HLOOKUP("As",A1:CV300,92,FALSE)/HLOOKUP("KP",A1:CV300,92,FALSE))</f>
      </c>
      <c r="AB92" s="22338"/>
      <c r="AC92" t="n" s="22339">
        <v>50.0</v>
      </c>
      <c r="AD92" t="n" s="22340">
        <v>2.0</v>
      </c>
      <c r="AE92" t="n" s="22341">
        <v>1.0</v>
      </c>
      <c r="AF92" t="n" s="22342">
        <v>0.0</v>
      </c>
      <c r="AG92" s="22343">
        <f>IF(HLOOKUP("BC",A1:CV300,92,FALSE)=0,0,HLOOKUP("Gs - BC",A1:CV300,92,FALSE)/HLOOKUP("BC",A1:CV300,92,FALSE))</f>
      </c>
      <c r="AH92" s="22344">
        <f>HLOOKUP("BC",A1:CV300,92,FALSE) - HLOOKUP("BC Miss",A1:CV300,92,FALSE)</f>
      </c>
      <c r="AI92" s="22345">
        <f>IF(HLOOKUP("Gs",A1:CV300,92,FALSE)=0,0,HLOOKUP("Gs - BC",A1:CV300,92,FALSE)/HLOOKUP("Gs",A1:CV300,92,FALSE))</f>
      </c>
      <c r="AJ92" t="n" s="22346">
        <v>1.0</v>
      </c>
      <c r="AK92" t="n" s="22347">
        <v>0.0</v>
      </c>
      <c r="AL92" s="22348">
        <f>HLOOKUP("BC",A1:CV300,92,FALSE) - (HLOOKUP("PK Gs",A1:CV300,92,FALSE) + HLOOKUP("PK Miss",A1:CV300,92,FALSE))</f>
      </c>
      <c r="AM92" s="22349">
        <f>HLOOKUP("BC Miss",A1:CV300,92,FALSE) - HLOOKUP("PK Miss",A1:CV300,92,FALSE)</f>
      </c>
      <c r="AN92" s="22350">
        <f>IF(HLOOKUP("BC - Open",A1:CV300,92,FALSE)=0,0,HLOOKUP("BC - Open Miss",A1:CV300,92,FALSE)/HLOOKUP("BC - Open",A1:CV300,92,FALSE))</f>
      </c>
      <c r="AO92" t="n" s="22351">
        <v>2.0</v>
      </c>
      <c r="AP92" s="22352">
        <f>IF(HLOOKUP("Gs",A1:CV300,92,FALSE)=0,0,HLOOKUP("GIB",A1:CV300,92,FALSE)/HLOOKUP("Gs",A1:CV300,92,FALSE))</f>
      </c>
      <c r="AQ92" t="n" s="22353">
        <v>0.0</v>
      </c>
      <c r="AR92" s="22354">
        <f>IF(HLOOKUP("Gs",A1:CV300,92,FALSE)=0,0,HLOOKUP("Gs - Open",A1:CV300,92,FALSE)/HLOOKUP("Gs",A1:CV300,92,FALSE))</f>
      </c>
      <c r="AS92" t="n" s="22355">
        <v>1.23</v>
      </c>
      <c r="AT92" t="n" s="22356">
        <v>1.34</v>
      </c>
      <c r="AU92" s="22357">
        <f>IF(HLOOKUP("Mins",A1:CV300,92,FALSE)=0,0,HLOOKUP("Pts",A1:CV300,92,FALSE)/HLOOKUP("Mins",A1:CV300,92,FALSE)* 90)</f>
      </c>
      <c r="AV92" s="22358">
        <f>IF(HLOOKUP("Apps",A1:CV300,92,FALSE)=0,0,HLOOKUP("Pts",A1:CV300,92,FALSE)/HLOOKUP("Apps",A1:CV300,92,FALSE)* 1)</f>
      </c>
      <c r="AW92" s="22359">
        <f>IF(HLOOKUP("Mins",A1:CV300,92,FALSE)=0,0,HLOOKUP("Gs",A1:CV300,92,FALSE)/HLOOKUP("Mins",A1:CV300,92,FALSE)* 90)</f>
      </c>
      <c r="AX92" s="22360">
        <f>IF(HLOOKUP("Mins",A1:CV300,92,FALSE)=0,0,HLOOKUP("Bonus",A1:CV300,92,FALSE)/HLOOKUP("Mins",A1:CV300,92,FALSE)* 90)</f>
      </c>
      <c r="AY92" s="22361">
        <f>IF(HLOOKUP("Mins",A1:CV300,92,FALSE)=0,0,HLOOKUP("BPS",A1:CV300,92,FALSE)/HLOOKUP("Mins",A1:CV300,92,FALSE)* 90)</f>
      </c>
      <c r="AZ92" s="22362">
        <f>IF(HLOOKUP("Mins",A1:CV300,92,FALSE)=0,0,HLOOKUP("Base BPS",A1:CV300,92,FALSE)/HLOOKUP("Mins",A1:CV300,92,FALSE)* 90)</f>
      </c>
      <c r="BA92" s="22363">
        <f>IF(HLOOKUP("Mins",A1:CV300,92,FALSE)=0,0,HLOOKUP("PenTchs",A1:CV300,92,FALSE)/HLOOKUP("Mins",A1:CV300,92,FALSE)* 90)</f>
      </c>
      <c r="BB92" s="22364">
        <f>IF(HLOOKUP("Mins",A1:CV300,92,FALSE)=0,0,HLOOKUP("Shots",A1:CV300,92,FALSE)/HLOOKUP("Mins",A1:CV300,92,FALSE)* 90)</f>
      </c>
      <c r="BC92" s="22365">
        <f>IF(HLOOKUP("Mins",A1:CV300,92,FALSE)=0,0,HLOOKUP("SIB",A1:CV300,92,FALSE)/HLOOKUP("Mins",A1:CV300,92,FALSE)* 90)</f>
      </c>
      <c r="BD92" s="22366">
        <f>IF(HLOOKUP("Mins",A1:CV300,92,FALSE)=0,0,HLOOKUP("S6YD",A1:CV300,92,FALSE)/HLOOKUP("Mins",A1:CV300,92,FALSE)* 90)</f>
      </c>
      <c r="BE92" s="22367">
        <f>IF(HLOOKUP("Mins",A1:CV300,92,FALSE)=0,0,HLOOKUP("Headers",A1:CV300,92,FALSE)/HLOOKUP("Mins",A1:CV300,92,FALSE)* 90)</f>
      </c>
      <c r="BF92" s="22368">
        <f>IF(HLOOKUP("Mins",A1:CV300,92,FALSE)=0,0,HLOOKUP("SOT",A1:CV300,92,FALSE)/HLOOKUP("Mins",A1:CV300,92,FALSE)* 90)</f>
      </c>
      <c r="BG92" s="22369">
        <f>IF(HLOOKUP("Mins",A1:CV300,92,FALSE)=0,0,HLOOKUP("As",A1:CV300,92,FALSE)/HLOOKUP("Mins",A1:CV300,92,FALSE)* 90)</f>
      </c>
      <c r="BH92" s="22370">
        <f>IF(HLOOKUP("Mins",A1:CV300,92,FALSE)=0,0,HLOOKUP("FPL As",A1:CV300,92,FALSE)/HLOOKUP("Mins",A1:CV300,92,FALSE)* 90)</f>
      </c>
      <c r="BI92" s="22371">
        <f>IF(HLOOKUP("Mins",A1:CV300,92,FALSE)=0,0,HLOOKUP("BC Created",A1:CV300,92,FALSE)/HLOOKUP("Mins",A1:CV300,92,FALSE)* 90)</f>
      </c>
      <c r="BJ92" s="22372">
        <f>IF(HLOOKUP("Mins",A1:CV300,92,FALSE)=0,0,HLOOKUP("KP",A1:CV300,92,FALSE)/HLOOKUP("Mins",A1:CV300,92,FALSE)* 90)</f>
      </c>
      <c r="BK92" s="22373">
        <f>IF(HLOOKUP("Mins",A1:CV300,92,FALSE)=0,0,HLOOKUP("BC",A1:CV300,92,FALSE)/HLOOKUP("Mins",A1:CV300,92,FALSE)* 90)</f>
      </c>
      <c r="BL92" s="22374">
        <f>IF(HLOOKUP("Mins",A1:CV300,92,FALSE)=0,0,HLOOKUP("BC Miss",A1:CV300,92,FALSE)/HLOOKUP("Mins",A1:CV300,92,FALSE)* 90)</f>
      </c>
      <c r="BM92" s="22375">
        <f>IF(HLOOKUP("Mins",A1:CV300,92,FALSE)=0,0,HLOOKUP("Gs - BC",A1:CV300,92,FALSE)/HLOOKUP("Mins",A1:CV300,92,FALSE)* 90)</f>
      </c>
      <c r="BN92" s="22376">
        <f>IF(HLOOKUP("Mins",A1:CV300,92,FALSE)=0,0,HLOOKUP("GIB",A1:CV300,92,FALSE)/HLOOKUP("Mins",A1:CV300,92,FALSE)* 90)</f>
      </c>
      <c r="BO92" s="22377">
        <f>IF(HLOOKUP("Mins",A1:CV300,92,FALSE)=0,0,HLOOKUP("Gs - Open",A1:CV300,92,FALSE)/HLOOKUP("Mins",A1:CV300,92,FALSE)* 90)</f>
      </c>
      <c r="BP92" s="22378">
        <f>IF(HLOOKUP("Mins",A1:CV300,92,FALSE)=0,0,HLOOKUP("ICT Index",A1:CV300,92,FALSE)/HLOOKUP("Mins",A1:CV300,92,FALSE)* 90)</f>
      </c>
      <c r="BQ92" s="22379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2380">
        <f>0.0885*HLOOKUP("KP/90",A1:CV300,92,FALSE)</f>
      </c>
      <c r="BS92" s="22381">
        <f>5*HLOOKUP("xG/90",A1:CV300,92,FALSE)+3*HLOOKUP("xA/90",A1:CV300,92,FALSE)</f>
      </c>
      <c r="BT92" s="22382">
        <f>HLOOKUP("xPts/90",A1:CV300,92,FALSE)-(5*0.75*(HLOOKUP("PK Gs",A1:CV300,92,FALSE)+HLOOKUP("PK Miss",A1:CV300,92,FALSE))*90/HLOOKUP("Mins",A1:CV300,92,FALSE))</f>
      </c>
      <c r="BU92" s="22383">
        <f>IF(HLOOKUP("Mins",A1:CV300,92,FALSE)=0,0,HLOOKUP("fsXG",A1:CV300,92,FALSE)/HLOOKUP("Mins",A1:CV300,92,FALSE)* 90)</f>
      </c>
      <c r="BV92" s="22384">
        <f>IF(HLOOKUP("Mins",A1:CV300,92,FALSE)=0,0,HLOOKUP("fsXA",A1:CV300,92,FALSE)/HLOOKUP("Mins",A1:CV300,92,FALSE)* 90)</f>
      </c>
      <c r="BW92" s="22385">
        <f>5*HLOOKUP("fsXG/90",A1:CV300,92,FALSE)+3*HLOOKUP("fsXA/90",A1:CV300,92,FALSE)</f>
      </c>
      <c r="BX92" t="n" s="22386">
        <v>0.23292386531829834</v>
      </c>
      <c r="BY92" t="n" s="22387">
        <v>0.3083288371562958</v>
      </c>
      <c r="BZ92" s="22388">
        <f>5*HLOOKUP("uXG/90",A1:CV300,92,FALSE)+3*HLOOKUP("uXA/90",A1:CV300,92,FALSE)</f>
      </c>
    </row>
    <row r="93">
      <c r="A93" t="s" s="22389">
        <v>384</v>
      </c>
      <c r="B93" t="s" s="22390">
        <v>96</v>
      </c>
      <c r="C93" t="n" s="22391">
        <v>5.400000095367432</v>
      </c>
      <c r="D93" t="n" s="22392">
        <v>540.0</v>
      </c>
      <c r="E93" t="n" s="22393">
        <v>6.0</v>
      </c>
      <c r="F93" t="n" s="22394">
        <v>61.0</v>
      </c>
      <c r="G93" t="n" s="22395">
        <v>0.0</v>
      </c>
      <c r="H93" t="n" s="22396">
        <v>5.0</v>
      </c>
      <c r="I93" t="n" s="22397">
        <v>280.0</v>
      </c>
      <c r="J93" s="22398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2399">
        <v>0.0</v>
      </c>
      <c r="L93" t="n" s="22400">
        <v>7.0</v>
      </c>
      <c r="M93" t="n" s="22401">
        <v>7.0</v>
      </c>
      <c r="N93" t="n" s="22402">
        <v>2.0</v>
      </c>
      <c r="O93" t="n" s="22403">
        <v>1.0</v>
      </c>
      <c r="P93" s="22404">
        <f>IF(HLOOKUP("Shots",A1:CV300,93,FALSE)=0,0,HLOOKUP("SIB",A1:CV300,93,FALSE)/HLOOKUP("Shots",A1:CV300,93,FALSE))</f>
      </c>
      <c r="Q93" t="n" s="22405">
        <v>0.0</v>
      </c>
      <c r="R93" s="22406">
        <f>IF(HLOOKUP("Shots",A1:CV300,93,FALSE)=0,0,HLOOKUP("S6YD",A1:CV300,93,FALSE)/HLOOKUP("Shots",A1:CV300,93,FALSE))</f>
      </c>
      <c r="S93" t="n" s="22407">
        <v>0.0</v>
      </c>
      <c r="T93" s="22408">
        <f>IF(HLOOKUP("Shots",A1:CV300,93,FALSE)=0,0,HLOOKUP("Headers",A1:CV300,93,FALSE)/HLOOKUP("Shots",A1:CV300,93,FALSE))</f>
      </c>
      <c r="U93" t="n" s="22409">
        <v>0.0</v>
      </c>
      <c r="V93" s="22410">
        <f>IF(HLOOKUP("Shots",A1:CV300,93,FALSE)=0,0,HLOOKUP("SOT",A1:CV300,93,FALSE)/HLOOKUP("Shots",A1:CV300,93,FALSE))</f>
      </c>
      <c r="W93" s="22411">
        <f>IF(HLOOKUP("Shots",A1:CV300,93,FALSE)=0,0,HLOOKUP("Gs",A1:CV300,93,FALSE)/HLOOKUP("Shots",A1:CV300,93,FALSE))</f>
      </c>
      <c r="X93" t="n" s="22412">
        <v>3.0</v>
      </c>
      <c r="Y93" t="n" s="22413">
        <v>6.0</v>
      </c>
      <c r="Z93" t="n" s="22414">
        <v>10.0</v>
      </c>
      <c r="AA93" s="22415">
        <f>IF(HLOOKUP("KP",A1:CV300,93,FALSE)=0,0,HLOOKUP("As",A1:CV300,93,FALSE)/HLOOKUP("KP",A1:CV300,93,FALSE))</f>
      </c>
      <c r="AB93" s="22416"/>
      <c r="AC93" t="n" s="22417">
        <v>100.0</v>
      </c>
      <c r="AD93" t="n" s="22418">
        <v>3.0</v>
      </c>
      <c r="AE93" t="n" s="22419">
        <v>0.0</v>
      </c>
      <c r="AF93" t="n" s="22420">
        <v>0.0</v>
      </c>
      <c r="AG93" s="22421">
        <f>IF(HLOOKUP("BC",A1:CV300,93,FALSE)=0,0,HLOOKUP("Gs - BC",A1:CV300,93,FALSE)/HLOOKUP("BC",A1:CV300,93,FALSE))</f>
      </c>
      <c r="AH93" s="22422">
        <f>HLOOKUP("BC",A1:CV300,93,FALSE) - HLOOKUP("BC Miss",A1:CV300,93,FALSE)</f>
      </c>
      <c r="AI93" s="22423">
        <f>IF(HLOOKUP("Gs",A1:CV300,93,FALSE)=0,0,HLOOKUP("Gs - BC",A1:CV300,93,FALSE)/HLOOKUP("Gs",A1:CV300,93,FALSE))</f>
      </c>
      <c r="AJ93" t="n" s="22424">
        <v>0.0</v>
      </c>
      <c r="AK93" t="n" s="22425">
        <v>0.0</v>
      </c>
      <c r="AL93" s="22426">
        <f>HLOOKUP("BC",A1:CV300,93,FALSE) - (HLOOKUP("PK Gs",A1:CV300,93,FALSE) + HLOOKUP("PK Miss",A1:CV300,93,FALSE))</f>
      </c>
      <c r="AM93" s="22427">
        <f>HLOOKUP("BC Miss",A1:CV300,93,FALSE) - HLOOKUP("PK Miss",A1:CV300,93,FALSE)</f>
      </c>
      <c r="AN93" s="22428">
        <f>IF(HLOOKUP("BC - Open",A1:CV300,93,FALSE)=0,0,HLOOKUP("BC - Open Miss",A1:CV300,93,FALSE)/HLOOKUP("BC - Open",A1:CV300,93,FALSE))</f>
      </c>
      <c r="AO93" t="n" s="22429">
        <v>0.0</v>
      </c>
      <c r="AP93" s="22430">
        <f>IF(HLOOKUP("Gs",A1:CV300,93,FALSE)=0,0,HLOOKUP("GIB",A1:CV300,93,FALSE)/HLOOKUP("Gs",A1:CV300,93,FALSE))</f>
      </c>
      <c r="AQ93" t="n" s="22431">
        <v>0.0</v>
      </c>
      <c r="AR93" s="22432">
        <f>IF(HLOOKUP("Gs",A1:CV300,93,FALSE)=0,0,HLOOKUP("Gs - Open",A1:CV300,93,FALSE)/HLOOKUP("Gs",A1:CV300,93,FALSE))</f>
      </c>
      <c r="AS93" t="n" s="22433">
        <v>0.15</v>
      </c>
      <c r="AT93" t="n" s="22434">
        <v>1.81</v>
      </c>
      <c r="AU93" s="22435">
        <f>IF(HLOOKUP("Mins",A1:CV300,93,FALSE)=0,0,HLOOKUP("Pts",A1:CV300,93,FALSE)/HLOOKUP("Mins",A1:CV300,93,FALSE)* 90)</f>
      </c>
      <c r="AV93" s="22436">
        <f>IF(HLOOKUP("Apps",A1:CV300,93,FALSE)=0,0,HLOOKUP("Pts",A1:CV300,93,FALSE)/HLOOKUP("Apps",A1:CV300,93,FALSE)* 1)</f>
      </c>
      <c r="AW93" s="22437">
        <f>IF(HLOOKUP("Mins",A1:CV300,93,FALSE)=0,0,HLOOKUP("Gs",A1:CV300,93,FALSE)/HLOOKUP("Mins",A1:CV300,93,FALSE)* 90)</f>
      </c>
      <c r="AX93" s="22438">
        <f>IF(HLOOKUP("Mins",A1:CV300,93,FALSE)=0,0,HLOOKUP("Bonus",A1:CV300,93,FALSE)/HLOOKUP("Mins",A1:CV300,93,FALSE)* 90)</f>
      </c>
      <c r="AY93" s="22439">
        <f>IF(HLOOKUP("Mins",A1:CV300,93,FALSE)=0,0,HLOOKUP("BPS",A1:CV300,93,FALSE)/HLOOKUP("Mins",A1:CV300,93,FALSE)* 90)</f>
      </c>
      <c r="AZ93" s="22440">
        <f>IF(HLOOKUP("Mins",A1:CV300,93,FALSE)=0,0,HLOOKUP("Base BPS",A1:CV300,93,FALSE)/HLOOKUP("Mins",A1:CV300,93,FALSE)* 90)</f>
      </c>
      <c r="BA93" s="22441">
        <f>IF(HLOOKUP("Mins",A1:CV300,93,FALSE)=0,0,HLOOKUP("PenTchs",A1:CV300,93,FALSE)/HLOOKUP("Mins",A1:CV300,93,FALSE)* 90)</f>
      </c>
      <c r="BB93" s="22442">
        <f>IF(HLOOKUP("Mins",A1:CV300,93,FALSE)=0,0,HLOOKUP("Shots",A1:CV300,93,FALSE)/HLOOKUP("Mins",A1:CV300,93,FALSE)* 90)</f>
      </c>
      <c r="BC93" s="22443">
        <f>IF(HLOOKUP("Mins",A1:CV300,93,FALSE)=0,0,HLOOKUP("SIB",A1:CV300,93,FALSE)/HLOOKUP("Mins",A1:CV300,93,FALSE)* 90)</f>
      </c>
      <c r="BD93" s="22444">
        <f>IF(HLOOKUP("Mins",A1:CV300,93,FALSE)=0,0,HLOOKUP("S6YD",A1:CV300,93,FALSE)/HLOOKUP("Mins",A1:CV300,93,FALSE)* 90)</f>
      </c>
      <c r="BE93" s="22445">
        <f>IF(HLOOKUP("Mins",A1:CV300,93,FALSE)=0,0,HLOOKUP("Headers",A1:CV300,93,FALSE)/HLOOKUP("Mins",A1:CV300,93,FALSE)* 90)</f>
      </c>
      <c r="BF93" s="22446">
        <f>IF(HLOOKUP("Mins",A1:CV300,93,FALSE)=0,0,HLOOKUP("SOT",A1:CV300,93,FALSE)/HLOOKUP("Mins",A1:CV300,93,FALSE)* 90)</f>
      </c>
      <c r="BG93" s="22447">
        <f>IF(HLOOKUP("Mins",A1:CV300,93,FALSE)=0,0,HLOOKUP("As",A1:CV300,93,FALSE)/HLOOKUP("Mins",A1:CV300,93,FALSE)* 90)</f>
      </c>
      <c r="BH93" s="22448">
        <f>IF(HLOOKUP("Mins",A1:CV300,93,FALSE)=0,0,HLOOKUP("FPL As",A1:CV300,93,FALSE)/HLOOKUP("Mins",A1:CV300,93,FALSE)* 90)</f>
      </c>
      <c r="BI93" s="22449">
        <f>IF(HLOOKUP("Mins",A1:CV300,93,FALSE)=0,0,HLOOKUP("BC Created",A1:CV300,93,FALSE)/HLOOKUP("Mins",A1:CV300,93,FALSE)* 90)</f>
      </c>
      <c r="BJ93" s="22450">
        <f>IF(HLOOKUP("Mins",A1:CV300,93,FALSE)=0,0,HLOOKUP("KP",A1:CV300,93,FALSE)/HLOOKUP("Mins",A1:CV300,93,FALSE)* 90)</f>
      </c>
      <c r="BK93" s="22451">
        <f>IF(HLOOKUP("Mins",A1:CV300,93,FALSE)=0,0,HLOOKUP("BC",A1:CV300,93,FALSE)/HLOOKUP("Mins",A1:CV300,93,FALSE)* 90)</f>
      </c>
      <c r="BL93" s="22452">
        <f>IF(HLOOKUP("Mins",A1:CV300,93,FALSE)=0,0,HLOOKUP("BC Miss",A1:CV300,93,FALSE)/HLOOKUP("Mins",A1:CV300,93,FALSE)* 90)</f>
      </c>
      <c r="BM93" s="22453">
        <f>IF(HLOOKUP("Mins",A1:CV300,93,FALSE)=0,0,HLOOKUP("Gs - BC",A1:CV300,93,FALSE)/HLOOKUP("Mins",A1:CV300,93,FALSE)* 90)</f>
      </c>
      <c r="BN93" s="22454">
        <f>IF(HLOOKUP("Mins",A1:CV300,93,FALSE)=0,0,HLOOKUP("GIB",A1:CV300,93,FALSE)/HLOOKUP("Mins",A1:CV300,93,FALSE)* 90)</f>
      </c>
      <c r="BO93" s="22455">
        <f>IF(HLOOKUP("Mins",A1:CV300,93,FALSE)=0,0,HLOOKUP("Gs - Open",A1:CV300,93,FALSE)/HLOOKUP("Mins",A1:CV300,93,FALSE)* 90)</f>
      </c>
      <c r="BP93" s="22456">
        <f>IF(HLOOKUP("Mins",A1:CV300,93,FALSE)=0,0,HLOOKUP("ICT Index",A1:CV300,93,FALSE)/HLOOKUP("Mins",A1:CV300,93,FALSE)* 90)</f>
      </c>
      <c r="BQ93" s="22457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2458">
        <f>0.0885*HLOOKUP("KP/90",A1:CV300,93,FALSE)</f>
      </c>
      <c r="BS93" s="22459">
        <f>5*HLOOKUP("xG/90",A1:CV300,93,FALSE)+3*HLOOKUP("xA/90",A1:CV300,93,FALSE)</f>
      </c>
      <c r="BT93" s="22460">
        <f>HLOOKUP("xPts/90",A1:CV300,93,FALSE)-(5*0.75*(HLOOKUP("PK Gs",A1:CV300,93,FALSE)+HLOOKUP("PK Miss",A1:CV300,93,FALSE))*90/HLOOKUP("Mins",A1:CV300,93,FALSE))</f>
      </c>
      <c r="BU93" s="22461">
        <f>IF(HLOOKUP("Mins",A1:CV300,93,FALSE)=0,0,HLOOKUP("fsXG",A1:CV300,93,FALSE)/HLOOKUP("Mins",A1:CV300,93,FALSE)* 90)</f>
      </c>
      <c r="BV93" s="22462">
        <f>IF(HLOOKUP("Mins",A1:CV300,93,FALSE)=0,0,HLOOKUP("fsXA",A1:CV300,93,FALSE)/HLOOKUP("Mins",A1:CV300,93,FALSE)* 90)</f>
      </c>
      <c r="BW93" s="22463">
        <f>5*HLOOKUP("fsXG/90",A1:CV300,93,FALSE)+3*HLOOKUP("fsXA/90",A1:CV300,93,FALSE)</f>
      </c>
      <c r="BX93" t="n" s="22464">
        <v>0.019096190109848976</v>
      </c>
      <c r="BY93" t="n" s="22465">
        <v>0.37607425451278687</v>
      </c>
      <c r="BZ93" s="22466">
        <f>5*HLOOKUP("uXG/90",A1:CV300,93,FALSE)+3*HLOOKUP("uXA/90",A1:CV300,93,FALSE)</f>
      </c>
    </row>
    <row r="94">
      <c r="A94" t="s" s="22467">
        <v>385</v>
      </c>
      <c r="B94" t="s" s="22468">
        <v>87</v>
      </c>
      <c r="C94" t="n" s="22469">
        <v>4.400000095367432</v>
      </c>
      <c r="D94" t="n" s="22470">
        <v>449.0</v>
      </c>
      <c r="E94" t="n" s="22471">
        <v>6.0</v>
      </c>
      <c r="F94" t="n" s="22472">
        <v>54.0</v>
      </c>
      <c r="G94" t="n" s="22473">
        <v>0.0</v>
      </c>
      <c r="H94" t="n" s="22474">
        <v>4.0</v>
      </c>
      <c r="I94" t="n" s="22475">
        <v>221.0</v>
      </c>
      <c r="J94" s="22476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2477">
        <v>0.0</v>
      </c>
      <c r="L94" t="n" s="22478">
        <v>5.0</v>
      </c>
      <c r="M94" t="n" s="22479">
        <v>7.0</v>
      </c>
      <c r="N94" t="n" s="22480">
        <v>10.0</v>
      </c>
      <c r="O94" t="n" s="22481">
        <v>3.0</v>
      </c>
      <c r="P94" s="22482">
        <f>IF(HLOOKUP("Shots",A1:CV300,94,FALSE)=0,0,HLOOKUP("SIB",A1:CV300,94,FALSE)/HLOOKUP("Shots",A1:CV300,94,FALSE))</f>
      </c>
      <c r="Q94" t="n" s="22483">
        <v>0.0</v>
      </c>
      <c r="R94" s="22484">
        <f>IF(HLOOKUP("Shots",A1:CV300,94,FALSE)=0,0,HLOOKUP("S6YD",A1:CV300,94,FALSE)/HLOOKUP("Shots",A1:CV300,94,FALSE))</f>
      </c>
      <c r="S94" t="n" s="22485">
        <v>0.0</v>
      </c>
      <c r="T94" s="22486">
        <f>IF(HLOOKUP("Shots",A1:CV300,94,FALSE)=0,0,HLOOKUP("Headers",A1:CV300,94,FALSE)/HLOOKUP("Shots",A1:CV300,94,FALSE))</f>
      </c>
      <c r="U94" t="n" s="22487">
        <v>3.0</v>
      </c>
      <c r="V94" s="22488">
        <f>IF(HLOOKUP("Shots",A1:CV300,94,FALSE)=0,0,HLOOKUP("SOT",A1:CV300,94,FALSE)/HLOOKUP("Shots",A1:CV300,94,FALSE))</f>
      </c>
      <c r="W94" s="22489">
        <f>IF(HLOOKUP("Shots",A1:CV300,94,FALSE)=0,0,HLOOKUP("Gs",A1:CV300,94,FALSE)/HLOOKUP("Shots",A1:CV300,94,FALSE))</f>
      </c>
      <c r="X94" t="n" s="22490">
        <v>1.0</v>
      </c>
      <c r="Y94" t="n" s="22491">
        <v>1.0</v>
      </c>
      <c r="Z94" t="n" s="22492">
        <v>4.0</v>
      </c>
      <c r="AA94" s="22493">
        <f>IF(HLOOKUP("KP",A1:CV300,94,FALSE)=0,0,HLOOKUP("As",A1:CV300,94,FALSE)/HLOOKUP("KP",A1:CV300,94,FALSE))</f>
      </c>
      <c r="AB94" s="22494"/>
      <c r="AC94" t="n" s="22495">
        <v>25.0</v>
      </c>
      <c r="AD94" t="n" s="22496">
        <v>1.0</v>
      </c>
      <c r="AE94" t="n" s="22497">
        <v>1.0</v>
      </c>
      <c r="AF94" t="n" s="22498">
        <v>1.0</v>
      </c>
      <c r="AG94" s="22499">
        <f>IF(HLOOKUP("BC",A1:CV300,94,FALSE)=0,0,HLOOKUP("Gs - BC",A1:CV300,94,FALSE)/HLOOKUP("BC",A1:CV300,94,FALSE))</f>
      </c>
      <c r="AH94" s="22500">
        <f>HLOOKUP("BC",A1:CV300,94,FALSE) - HLOOKUP("BC Miss",A1:CV300,94,FALSE)</f>
      </c>
      <c r="AI94" s="22501">
        <f>IF(HLOOKUP("Gs",A1:CV300,94,FALSE)=0,0,HLOOKUP("Gs - BC",A1:CV300,94,FALSE)/HLOOKUP("Gs",A1:CV300,94,FALSE))</f>
      </c>
      <c r="AJ94" t="n" s="22502">
        <v>0.0</v>
      </c>
      <c r="AK94" t="n" s="22503">
        <v>0.0</v>
      </c>
      <c r="AL94" s="22504">
        <f>HLOOKUP("BC",A1:CV300,94,FALSE) - (HLOOKUP("PK Gs",A1:CV300,94,FALSE) + HLOOKUP("PK Miss",A1:CV300,94,FALSE))</f>
      </c>
      <c r="AM94" s="22505">
        <f>HLOOKUP("BC Miss",A1:CV300,94,FALSE) - HLOOKUP("PK Miss",A1:CV300,94,FALSE)</f>
      </c>
      <c r="AN94" s="22506">
        <f>IF(HLOOKUP("BC - Open",A1:CV300,94,FALSE)=0,0,HLOOKUP("BC - Open Miss",A1:CV300,94,FALSE)/HLOOKUP("BC - Open",A1:CV300,94,FALSE))</f>
      </c>
      <c r="AO94" t="n" s="22507">
        <v>0.0</v>
      </c>
      <c r="AP94" s="22508">
        <f>IF(HLOOKUP("Gs",A1:CV300,94,FALSE)=0,0,HLOOKUP("GIB",A1:CV300,94,FALSE)/HLOOKUP("Gs",A1:CV300,94,FALSE))</f>
      </c>
      <c r="AQ94" t="n" s="22509">
        <v>0.0</v>
      </c>
      <c r="AR94" s="22510">
        <f>IF(HLOOKUP("Gs",A1:CV300,94,FALSE)=0,0,HLOOKUP("Gs - Open",A1:CV300,94,FALSE)/HLOOKUP("Gs",A1:CV300,94,FALSE))</f>
      </c>
      <c r="AS94" t="n" s="22511">
        <v>0.58</v>
      </c>
      <c r="AT94" t="n" s="22512">
        <v>0.44</v>
      </c>
      <c r="AU94" s="22513">
        <f>IF(HLOOKUP("Mins",A1:CV300,94,FALSE)=0,0,HLOOKUP("Pts",A1:CV300,94,FALSE)/HLOOKUP("Mins",A1:CV300,94,FALSE)* 90)</f>
      </c>
      <c r="AV94" s="22514">
        <f>IF(HLOOKUP("Apps",A1:CV300,94,FALSE)=0,0,HLOOKUP("Pts",A1:CV300,94,FALSE)/HLOOKUP("Apps",A1:CV300,94,FALSE)* 1)</f>
      </c>
      <c r="AW94" s="22515">
        <f>IF(HLOOKUP("Mins",A1:CV300,94,FALSE)=0,0,HLOOKUP("Gs",A1:CV300,94,FALSE)/HLOOKUP("Mins",A1:CV300,94,FALSE)* 90)</f>
      </c>
      <c r="AX94" s="22516">
        <f>IF(HLOOKUP("Mins",A1:CV300,94,FALSE)=0,0,HLOOKUP("Bonus",A1:CV300,94,FALSE)/HLOOKUP("Mins",A1:CV300,94,FALSE)* 90)</f>
      </c>
      <c r="AY94" s="22517">
        <f>IF(HLOOKUP("Mins",A1:CV300,94,FALSE)=0,0,HLOOKUP("BPS",A1:CV300,94,FALSE)/HLOOKUP("Mins",A1:CV300,94,FALSE)* 90)</f>
      </c>
      <c r="AZ94" s="22518">
        <f>IF(HLOOKUP("Mins",A1:CV300,94,FALSE)=0,0,HLOOKUP("Base BPS",A1:CV300,94,FALSE)/HLOOKUP("Mins",A1:CV300,94,FALSE)* 90)</f>
      </c>
      <c r="BA94" s="22519">
        <f>IF(HLOOKUP("Mins",A1:CV300,94,FALSE)=0,0,HLOOKUP("PenTchs",A1:CV300,94,FALSE)/HLOOKUP("Mins",A1:CV300,94,FALSE)* 90)</f>
      </c>
      <c r="BB94" s="22520">
        <f>IF(HLOOKUP("Mins",A1:CV300,94,FALSE)=0,0,HLOOKUP("Shots",A1:CV300,94,FALSE)/HLOOKUP("Mins",A1:CV300,94,FALSE)* 90)</f>
      </c>
      <c r="BC94" s="22521">
        <f>IF(HLOOKUP("Mins",A1:CV300,94,FALSE)=0,0,HLOOKUP("SIB",A1:CV300,94,FALSE)/HLOOKUP("Mins",A1:CV300,94,FALSE)* 90)</f>
      </c>
      <c r="BD94" s="22522">
        <f>IF(HLOOKUP("Mins",A1:CV300,94,FALSE)=0,0,HLOOKUP("S6YD",A1:CV300,94,FALSE)/HLOOKUP("Mins",A1:CV300,94,FALSE)* 90)</f>
      </c>
      <c r="BE94" s="22523">
        <f>IF(HLOOKUP("Mins",A1:CV300,94,FALSE)=0,0,HLOOKUP("Headers",A1:CV300,94,FALSE)/HLOOKUP("Mins",A1:CV300,94,FALSE)* 90)</f>
      </c>
      <c r="BF94" s="22524">
        <f>IF(HLOOKUP("Mins",A1:CV300,94,FALSE)=0,0,HLOOKUP("SOT",A1:CV300,94,FALSE)/HLOOKUP("Mins",A1:CV300,94,FALSE)* 90)</f>
      </c>
      <c r="BG94" s="22525">
        <f>IF(HLOOKUP("Mins",A1:CV300,94,FALSE)=0,0,HLOOKUP("As",A1:CV300,94,FALSE)/HLOOKUP("Mins",A1:CV300,94,FALSE)* 90)</f>
      </c>
      <c r="BH94" s="22526">
        <f>IF(HLOOKUP("Mins",A1:CV300,94,FALSE)=0,0,HLOOKUP("FPL As",A1:CV300,94,FALSE)/HLOOKUP("Mins",A1:CV300,94,FALSE)* 90)</f>
      </c>
      <c r="BI94" s="22527">
        <f>IF(HLOOKUP("Mins",A1:CV300,94,FALSE)=0,0,HLOOKUP("BC Created",A1:CV300,94,FALSE)/HLOOKUP("Mins",A1:CV300,94,FALSE)* 90)</f>
      </c>
      <c r="BJ94" s="22528">
        <f>IF(HLOOKUP("Mins",A1:CV300,94,FALSE)=0,0,HLOOKUP("KP",A1:CV300,94,FALSE)/HLOOKUP("Mins",A1:CV300,94,FALSE)* 90)</f>
      </c>
      <c r="BK94" s="22529">
        <f>IF(HLOOKUP("Mins",A1:CV300,94,FALSE)=0,0,HLOOKUP("BC",A1:CV300,94,FALSE)/HLOOKUP("Mins",A1:CV300,94,FALSE)* 90)</f>
      </c>
      <c r="BL94" s="22530">
        <f>IF(HLOOKUP("Mins",A1:CV300,94,FALSE)=0,0,HLOOKUP("BC Miss",A1:CV300,94,FALSE)/HLOOKUP("Mins",A1:CV300,94,FALSE)* 90)</f>
      </c>
      <c r="BM94" s="22531">
        <f>IF(HLOOKUP("Mins",A1:CV300,94,FALSE)=0,0,HLOOKUP("Gs - BC",A1:CV300,94,FALSE)/HLOOKUP("Mins",A1:CV300,94,FALSE)* 90)</f>
      </c>
      <c r="BN94" s="22532">
        <f>IF(HLOOKUP("Mins",A1:CV300,94,FALSE)=0,0,HLOOKUP("GIB",A1:CV300,94,FALSE)/HLOOKUP("Mins",A1:CV300,94,FALSE)* 90)</f>
      </c>
      <c r="BO94" s="22533">
        <f>IF(HLOOKUP("Mins",A1:CV300,94,FALSE)=0,0,HLOOKUP("Gs - Open",A1:CV300,94,FALSE)/HLOOKUP("Mins",A1:CV300,94,FALSE)* 90)</f>
      </c>
      <c r="BP94" s="22534">
        <f>IF(HLOOKUP("Mins",A1:CV300,94,FALSE)=0,0,HLOOKUP("ICT Index",A1:CV300,94,FALSE)/HLOOKUP("Mins",A1:CV300,94,FALSE)* 90)</f>
      </c>
      <c r="BQ94" s="22535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2536">
        <f>0.0885*HLOOKUP("KP/90",A1:CV300,94,FALSE)</f>
      </c>
      <c r="BS94" s="22537">
        <f>5*HLOOKUP("xG/90",A1:CV300,94,FALSE)+3*HLOOKUP("xA/90",A1:CV300,94,FALSE)</f>
      </c>
      <c r="BT94" s="22538">
        <f>HLOOKUP("xPts/90",A1:CV300,94,FALSE)-(5*0.75*(HLOOKUP("PK Gs",A1:CV300,94,FALSE)+HLOOKUP("PK Miss",A1:CV300,94,FALSE))*90/HLOOKUP("Mins",A1:CV300,94,FALSE))</f>
      </c>
      <c r="BU94" s="22539">
        <f>IF(HLOOKUP("Mins",A1:CV300,94,FALSE)=0,0,HLOOKUP("fsXG",A1:CV300,94,FALSE)/HLOOKUP("Mins",A1:CV300,94,FALSE)* 90)</f>
      </c>
      <c r="BV94" s="22540">
        <f>IF(HLOOKUP("Mins",A1:CV300,94,FALSE)=0,0,HLOOKUP("fsXA",A1:CV300,94,FALSE)/HLOOKUP("Mins",A1:CV300,94,FALSE)* 90)</f>
      </c>
      <c r="BW94" s="22541">
        <f>5*HLOOKUP("fsXG/90",A1:CV300,94,FALSE)+3*HLOOKUP("fsXA/90",A1:CV300,94,FALSE)</f>
      </c>
      <c r="BX94" t="n" s="22542">
        <v>0.11131876707077026</v>
      </c>
      <c r="BY94" t="n" s="22543">
        <v>0.1293613761663437</v>
      </c>
      <c r="BZ94" s="22544">
        <f>5*HLOOKUP("uXG/90",A1:CV300,94,FALSE)+3*HLOOKUP("uXA/90",A1:CV300,94,FALSE)</f>
      </c>
    </row>
    <row r="95">
      <c r="A95" t="s" s="22545">
        <v>386</v>
      </c>
      <c r="B95" t="s" s="22546">
        <v>102</v>
      </c>
      <c r="C95" t="n" s="22547">
        <v>5.800000190734863</v>
      </c>
      <c r="D95" t="n" s="22548">
        <v>423.0</v>
      </c>
      <c r="E95" t="n" s="22549">
        <v>5.0</v>
      </c>
      <c r="F95" t="n" s="22550">
        <v>62.0</v>
      </c>
      <c r="G95" t="n" s="22551">
        <v>2.0</v>
      </c>
      <c r="H95" t="n" s="22552">
        <v>5.0</v>
      </c>
      <c r="I95" t="n" s="22553">
        <v>195.0</v>
      </c>
      <c r="J95" s="22554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2555">
        <v>0.0</v>
      </c>
      <c r="L95" t="n" s="22556">
        <v>6.0</v>
      </c>
      <c r="M95" t="n" s="22557">
        <v>14.0</v>
      </c>
      <c r="N95" t="n" s="22558">
        <v>11.0</v>
      </c>
      <c r="O95" t="n" s="22559">
        <v>9.0</v>
      </c>
      <c r="P95" s="22560">
        <f>IF(HLOOKUP("Shots",A1:CV300,95,FALSE)=0,0,HLOOKUP("SIB",A1:CV300,95,FALSE)/HLOOKUP("Shots",A1:CV300,95,FALSE))</f>
      </c>
      <c r="Q95" t="n" s="22561">
        <v>0.0</v>
      </c>
      <c r="R95" s="22562">
        <f>IF(HLOOKUP("Shots",A1:CV300,95,FALSE)=0,0,HLOOKUP("S6YD",A1:CV300,95,FALSE)/HLOOKUP("Shots",A1:CV300,95,FALSE))</f>
      </c>
      <c r="S95" t="n" s="22563">
        <v>1.0</v>
      </c>
      <c r="T95" s="22564">
        <f>IF(HLOOKUP("Shots",A1:CV300,95,FALSE)=0,0,HLOOKUP("Headers",A1:CV300,95,FALSE)/HLOOKUP("Shots",A1:CV300,95,FALSE))</f>
      </c>
      <c r="U95" t="n" s="22565">
        <v>3.0</v>
      </c>
      <c r="V95" s="22566">
        <f>IF(HLOOKUP("Shots",A1:CV300,95,FALSE)=0,0,HLOOKUP("SOT",A1:CV300,95,FALSE)/HLOOKUP("Shots",A1:CV300,95,FALSE))</f>
      </c>
      <c r="W95" s="22567">
        <f>IF(HLOOKUP("Shots",A1:CV300,95,FALSE)=0,0,HLOOKUP("Gs",A1:CV300,95,FALSE)/HLOOKUP("Shots",A1:CV300,95,FALSE))</f>
      </c>
      <c r="X95" t="n" s="22568">
        <v>0.0</v>
      </c>
      <c r="Y95" t="n" s="22569">
        <v>1.0</v>
      </c>
      <c r="Z95" t="n" s="22570">
        <v>1.0</v>
      </c>
      <c r="AA95" s="22571">
        <f>IF(HLOOKUP("KP",A1:CV300,95,FALSE)=0,0,HLOOKUP("As",A1:CV300,95,FALSE)/HLOOKUP("KP",A1:CV300,95,FALSE))</f>
      </c>
      <c r="AB95" s="22572"/>
      <c r="AC95" t="n" s="22573">
        <v>50.0</v>
      </c>
      <c r="AD95" t="n" s="22574">
        <v>0.0</v>
      </c>
      <c r="AE95" t="n" s="22575">
        <v>2.0</v>
      </c>
      <c r="AF95" t="n" s="22576">
        <v>1.0</v>
      </c>
      <c r="AG95" s="22577">
        <f>IF(HLOOKUP("BC",A1:CV300,95,FALSE)=0,0,HLOOKUP("Gs - BC",A1:CV300,95,FALSE)/HLOOKUP("BC",A1:CV300,95,FALSE))</f>
      </c>
      <c r="AH95" s="22578">
        <f>HLOOKUP("BC",A1:CV300,95,FALSE) - HLOOKUP("BC Miss",A1:CV300,95,FALSE)</f>
      </c>
      <c r="AI95" s="22579">
        <f>IF(HLOOKUP("Gs",A1:CV300,95,FALSE)=0,0,HLOOKUP("Gs - BC",A1:CV300,95,FALSE)/HLOOKUP("Gs",A1:CV300,95,FALSE))</f>
      </c>
      <c r="AJ95" t="n" s="22580">
        <v>0.0</v>
      </c>
      <c r="AK95" t="n" s="22581">
        <v>0.0</v>
      </c>
      <c r="AL95" s="22582">
        <f>HLOOKUP("BC",A1:CV300,95,FALSE) - (HLOOKUP("PK Gs",A1:CV300,95,FALSE) + HLOOKUP("PK Miss",A1:CV300,95,FALSE))</f>
      </c>
      <c r="AM95" s="22583">
        <f>HLOOKUP("BC Miss",A1:CV300,95,FALSE) - HLOOKUP("PK Miss",A1:CV300,95,FALSE)</f>
      </c>
      <c r="AN95" s="22584">
        <f>IF(HLOOKUP("BC - Open",A1:CV300,95,FALSE)=0,0,HLOOKUP("BC - Open Miss",A1:CV300,95,FALSE)/HLOOKUP("BC - Open",A1:CV300,95,FALSE))</f>
      </c>
      <c r="AO95" t="n" s="22585">
        <v>2.0</v>
      </c>
      <c r="AP95" s="22586">
        <f>IF(HLOOKUP("Gs",A1:CV300,95,FALSE)=0,0,HLOOKUP("GIB",A1:CV300,95,FALSE)/HLOOKUP("Gs",A1:CV300,95,FALSE))</f>
      </c>
      <c r="AQ95" t="n" s="22587">
        <v>1.0</v>
      </c>
      <c r="AR95" s="22588">
        <f>IF(HLOOKUP("Gs",A1:CV300,95,FALSE)=0,0,HLOOKUP("Gs - Open",A1:CV300,95,FALSE)/HLOOKUP("Gs",A1:CV300,95,FALSE))</f>
      </c>
      <c r="AS95" t="n" s="22589">
        <v>1.22</v>
      </c>
      <c r="AT95" t="n" s="22590">
        <v>0.22</v>
      </c>
      <c r="AU95" s="22591">
        <f>IF(HLOOKUP("Mins",A1:CV300,95,FALSE)=0,0,HLOOKUP("Pts",A1:CV300,95,FALSE)/HLOOKUP("Mins",A1:CV300,95,FALSE)* 90)</f>
      </c>
      <c r="AV95" s="22592">
        <f>IF(HLOOKUP("Apps",A1:CV300,95,FALSE)=0,0,HLOOKUP("Pts",A1:CV300,95,FALSE)/HLOOKUP("Apps",A1:CV300,95,FALSE)* 1)</f>
      </c>
      <c r="AW95" s="22593">
        <f>IF(HLOOKUP("Mins",A1:CV300,95,FALSE)=0,0,HLOOKUP("Gs",A1:CV300,95,FALSE)/HLOOKUP("Mins",A1:CV300,95,FALSE)* 90)</f>
      </c>
      <c r="AX95" s="22594">
        <f>IF(HLOOKUP("Mins",A1:CV300,95,FALSE)=0,0,HLOOKUP("Bonus",A1:CV300,95,FALSE)/HLOOKUP("Mins",A1:CV300,95,FALSE)* 90)</f>
      </c>
      <c r="AY95" s="22595">
        <f>IF(HLOOKUP("Mins",A1:CV300,95,FALSE)=0,0,HLOOKUP("BPS",A1:CV300,95,FALSE)/HLOOKUP("Mins",A1:CV300,95,FALSE)* 90)</f>
      </c>
      <c r="AZ95" s="22596">
        <f>IF(HLOOKUP("Mins",A1:CV300,95,FALSE)=0,0,HLOOKUP("Base BPS",A1:CV300,95,FALSE)/HLOOKUP("Mins",A1:CV300,95,FALSE)* 90)</f>
      </c>
      <c r="BA95" s="22597">
        <f>IF(HLOOKUP("Mins",A1:CV300,95,FALSE)=0,0,HLOOKUP("PenTchs",A1:CV300,95,FALSE)/HLOOKUP("Mins",A1:CV300,95,FALSE)* 90)</f>
      </c>
      <c r="BB95" s="22598">
        <f>IF(HLOOKUP("Mins",A1:CV300,95,FALSE)=0,0,HLOOKUP("Shots",A1:CV300,95,FALSE)/HLOOKUP("Mins",A1:CV300,95,FALSE)* 90)</f>
      </c>
      <c r="BC95" s="22599">
        <f>IF(HLOOKUP("Mins",A1:CV300,95,FALSE)=0,0,HLOOKUP("SIB",A1:CV300,95,FALSE)/HLOOKUP("Mins",A1:CV300,95,FALSE)* 90)</f>
      </c>
      <c r="BD95" s="22600">
        <f>IF(HLOOKUP("Mins",A1:CV300,95,FALSE)=0,0,HLOOKUP("S6YD",A1:CV300,95,FALSE)/HLOOKUP("Mins",A1:CV300,95,FALSE)* 90)</f>
      </c>
      <c r="BE95" s="22601">
        <f>IF(HLOOKUP("Mins",A1:CV300,95,FALSE)=0,0,HLOOKUP("Headers",A1:CV300,95,FALSE)/HLOOKUP("Mins",A1:CV300,95,FALSE)* 90)</f>
      </c>
      <c r="BF95" s="22602">
        <f>IF(HLOOKUP("Mins",A1:CV300,95,FALSE)=0,0,HLOOKUP("SOT",A1:CV300,95,FALSE)/HLOOKUP("Mins",A1:CV300,95,FALSE)* 90)</f>
      </c>
      <c r="BG95" s="22603">
        <f>IF(HLOOKUP("Mins",A1:CV300,95,FALSE)=0,0,HLOOKUP("As",A1:CV300,95,FALSE)/HLOOKUP("Mins",A1:CV300,95,FALSE)* 90)</f>
      </c>
      <c r="BH95" s="22604">
        <f>IF(HLOOKUP("Mins",A1:CV300,95,FALSE)=0,0,HLOOKUP("FPL As",A1:CV300,95,FALSE)/HLOOKUP("Mins",A1:CV300,95,FALSE)* 90)</f>
      </c>
      <c r="BI95" s="22605">
        <f>IF(HLOOKUP("Mins",A1:CV300,95,FALSE)=0,0,HLOOKUP("BC Created",A1:CV300,95,FALSE)/HLOOKUP("Mins",A1:CV300,95,FALSE)* 90)</f>
      </c>
      <c r="BJ95" s="22606">
        <f>IF(HLOOKUP("Mins",A1:CV300,95,FALSE)=0,0,HLOOKUP("KP",A1:CV300,95,FALSE)/HLOOKUP("Mins",A1:CV300,95,FALSE)* 90)</f>
      </c>
      <c r="BK95" s="22607">
        <f>IF(HLOOKUP("Mins",A1:CV300,95,FALSE)=0,0,HLOOKUP("BC",A1:CV300,95,FALSE)/HLOOKUP("Mins",A1:CV300,95,FALSE)* 90)</f>
      </c>
      <c r="BL95" s="22608">
        <f>IF(HLOOKUP("Mins",A1:CV300,95,FALSE)=0,0,HLOOKUP("BC Miss",A1:CV300,95,FALSE)/HLOOKUP("Mins",A1:CV300,95,FALSE)* 90)</f>
      </c>
      <c r="BM95" s="22609">
        <f>IF(HLOOKUP("Mins",A1:CV300,95,FALSE)=0,0,HLOOKUP("Gs - BC",A1:CV300,95,FALSE)/HLOOKUP("Mins",A1:CV300,95,FALSE)* 90)</f>
      </c>
      <c r="BN95" s="22610">
        <f>IF(HLOOKUP("Mins",A1:CV300,95,FALSE)=0,0,HLOOKUP("GIB",A1:CV300,95,FALSE)/HLOOKUP("Mins",A1:CV300,95,FALSE)* 90)</f>
      </c>
      <c r="BO95" s="22611">
        <f>IF(HLOOKUP("Mins",A1:CV300,95,FALSE)=0,0,HLOOKUP("Gs - Open",A1:CV300,95,FALSE)/HLOOKUP("Mins",A1:CV300,95,FALSE)* 90)</f>
      </c>
      <c r="BP95" s="22612">
        <f>IF(HLOOKUP("Mins",A1:CV300,95,FALSE)=0,0,HLOOKUP("ICT Index",A1:CV300,95,FALSE)/HLOOKUP("Mins",A1:CV300,95,FALSE)* 90)</f>
      </c>
      <c r="BQ95" s="22613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2614">
        <f>0.0885*HLOOKUP("KP/90",A1:CV300,95,FALSE)</f>
      </c>
      <c r="BS95" s="22615">
        <f>5*HLOOKUP("xG/90",A1:CV300,95,FALSE)+3*HLOOKUP("xA/90",A1:CV300,95,FALSE)</f>
      </c>
      <c r="BT95" s="22616">
        <f>HLOOKUP("xPts/90",A1:CV300,95,FALSE)-(5*0.75*(HLOOKUP("PK Gs",A1:CV300,95,FALSE)+HLOOKUP("PK Miss",A1:CV300,95,FALSE))*90/HLOOKUP("Mins",A1:CV300,95,FALSE))</f>
      </c>
      <c r="BU95" s="22617">
        <f>IF(HLOOKUP("Mins",A1:CV300,95,FALSE)=0,0,HLOOKUP("fsXG",A1:CV300,95,FALSE)/HLOOKUP("Mins",A1:CV300,95,FALSE)* 90)</f>
      </c>
      <c r="BV95" s="22618">
        <f>IF(HLOOKUP("Mins",A1:CV300,95,FALSE)=0,0,HLOOKUP("fsXA",A1:CV300,95,FALSE)/HLOOKUP("Mins",A1:CV300,95,FALSE)* 90)</f>
      </c>
      <c r="BW95" s="22619">
        <f>5*HLOOKUP("fsXG/90",A1:CV300,95,FALSE)+3*HLOOKUP("fsXA/90",A1:CV300,95,FALSE)</f>
      </c>
      <c r="BX95" t="n" s="22620">
        <v>0.35037973523139954</v>
      </c>
      <c r="BY95" t="n" s="22621">
        <v>0.007632330991327763</v>
      </c>
      <c r="BZ95" s="22622">
        <f>5*HLOOKUP("uXG/90",A1:CV300,95,FALSE)+3*HLOOKUP("uXA/90",A1:CV300,95,FALSE)</f>
      </c>
    </row>
    <row r="96">
      <c r="A96" t="s" s="22623">
        <v>387</v>
      </c>
      <c r="B96" t="s" s="22624">
        <v>114</v>
      </c>
      <c r="C96" t="n" s="22625">
        <v>5.599999904632568</v>
      </c>
      <c r="D96" t="n" s="22626">
        <v>101.0</v>
      </c>
      <c r="E96" t="n" s="22627">
        <v>2.0</v>
      </c>
      <c r="F96" t="n" s="22628">
        <v>35.0</v>
      </c>
      <c r="G96" t="n" s="22629">
        <v>0.0</v>
      </c>
      <c r="H96" t="n" s="22630">
        <v>2.0</v>
      </c>
      <c r="I96" t="n" s="22631">
        <v>155.0</v>
      </c>
      <c r="J96" s="22632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2633">
        <v>0.0</v>
      </c>
      <c r="L96" t="n" s="22634">
        <v>1.0</v>
      </c>
      <c r="M96" t="n" s="22635">
        <v>3.0</v>
      </c>
      <c r="N96" t="n" s="22636">
        <v>1.0</v>
      </c>
      <c r="O96" t="n" s="22637">
        <v>1.0</v>
      </c>
      <c r="P96" s="22638">
        <f>IF(HLOOKUP("Shots",A1:CV300,96,FALSE)=0,0,HLOOKUP("SIB",A1:CV300,96,FALSE)/HLOOKUP("Shots",A1:CV300,96,FALSE))</f>
      </c>
      <c r="Q96" t="n" s="22639">
        <v>0.0</v>
      </c>
      <c r="R96" s="22640">
        <f>IF(HLOOKUP("Shots",A1:CV300,96,FALSE)=0,0,HLOOKUP("S6YD",A1:CV300,96,FALSE)/HLOOKUP("Shots",A1:CV300,96,FALSE))</f>
      </c>
      <c r="S96" t="n" s="22641">
        <v>0.0</v>
      </c>
      <c r="T96" s="22642">
        <f>IF(HLOOKUP("Shots",A1:CV300,96,FALSE)=0,0,HLOOKUP("Headers",A1:CV300,96,FALSE)/HLOOKUP("Shots",A1:CV300,96,FALSE))</f>
      </c>
      <c r="U96" t="n" s="22643">
        <v>1.0</v>
      </c>
      <c r="V96" s="22644">
        <f>IF(HLOOKUP("Shots",A1:CV300,96,FALSE)=0,0,HLOOKUP("SOT",A1:CV300,96,FALSE)/HLOOKUP("Shots",A1:CV300,96,FALSE))</f>
      </c>
      <c r="W96" s="22645">
        <f>IF(HLOOKUP("Shots",A1:CV300,96,FALSE)=0,0,HLOOKUP("Gs",A1:CV300,96,FALSE)/HLOOKUP("Shots",A1:CV300,96,FALSE))</f>
      </c>
      <c r="X96" t="n" s="22646">
        <v>0.0</v>
      </c>
      <c r="Y96" t="n" s="22647">
        <v>0.0</v>
      </c>
      <c r="Z96" t="n" s="22648">
        <v>0.0</v>
      </c>
      <c r="AA96" s="22649">
        <f>IF(HLOOKUP("KP",A1:CV300,96,FALSE)=0,0,HLOOKUP("As",A1:CV300,96,FALSE)/HLOOKUP("KP",A1:CV300,96,FALSE))</f>
      </c>
      <c r="AB96" s="22650"/>
      <c r="AC96" t="n" s="22651">
        <v>0.0</v>
      </c>
      <c r="AD96" t="n" s="22652">
        <v>0.0</v>
      </c>
      <c r="AE96" t="n" s="22653">
        <v>0.0</v>
      </c>
      <c r="AF96" t="n" s="22654">
        <v>0.0</v>
      </c>
      <c r="AG96" s="22655">
        <f>IF(HLOOKUP("BC",A1:CV300,96,FALSE)=0,0,HLOOKUP("Gs - BC",A1:CV300,96,FALSE)/HLOOKUP("BC",A1:CV300,96,FALSE))</f>
      </c>
      <c r="AH96" s="22656">
        <f>HLOOKUP("BC",A1:CV300,96,FALSE) - HLOOKUP("BC Miss",A1:CV300,96,FALSE)</f>
      </c>
      <c r="AI96" s="22657">
        <f>IF(HLOOKUP("Gs",A1:CV300,96,FALSE)=0,0,HLOOKUP("Gs - BC",A1:CV300,96,FALSE)/HLOOKUP("Gs",A1:CV300,96,FALSE))</f>
      </c>
      <c r="AJ96" t="n" s="22658">
        <v>0.0</v>
      </c>
      <c r="AK96" t="n" s="22659">
        <v>0.0</v>
      </c>
      <c r="AL96" s="22660">
        <f>HLOOKUP("BC",A1:CV300,96,FALSE) - (HLOOKUP("PK Gs",A1:CV300,96,FALSE) + HLOOKUP("PK Miss",A1:CV300,96,FALSE))</f>
      </c>
      <c r="AM96" s="22661">
        <f>HLOOKUP("BC Miss",A1:CV300,96,FALSE) - HLOOKUP("PK Miss",A1:CV300,96,FALSE)</f>
      </c>
      <c r="AN96" s="22662">
        <f>IF(HLOOKUP("BC - Open",A1:CV300,96,FALSE)=0,0,HLOOKUP("BC - Open Miss",A1:CV300,96,FALSE)/HLOOKUP("BC - Open",A1:CV300,96,FALSE))</f>
      </c>
      <c r="AO96" t="n" s="22663">
        <v>0.0</v>
      </c>
      <c r="AP96" s="22664">
        <f>IF(HLOOKUP("Gs",A1:CV300,96,FALSE)=0,0,HLOOKUP("GIB",A1:CV300,96,FALSE)/HLOOKUP("Gs",A1:CV300,96,FALSE))</f>
      </c>
      <c r="AQ96" t="n" s="22665">
        <v>0.0</v>
      </c>
      <c r="AR96" s="22666">
        <f>IF(HLOOKUP("Gs",A1:CV300,96,FALSE)=0,0,HLOOKUP("Gs - Open",A1:CV300,96,FALSE)/HLOOKUP("Gs",A1:CV300,96,FALSE))</f>
      </c>
      <c r="AS96" t="n" s="22667">
        <v>0.04</v>
      </c>
      <c r="AT96" t="n" s="22668">
        <v>0.01</v>
      </c>
      <c r="AU96" s="22669">
        <f>IF(HLOOKUP("Mins",A1:CV300,96,FALSE)=0,0,HLOOKUP("Pts",A1:CV300,96,FALSE)/HLOOKUP("Mins",A1:CV300,96,FALSE)* 90)</f>
      </c>
      <c r="AV96" s="22670">
        <f>IF(HLOOKUP("Apps",A1:CV300,96,FALSE)=0,0,HLOOKUP("Pts",A1:CV300,96,FALSE)/HLOOKUP("Apps",A1:CV300,96,FALSE)* 1)</f>
      </c>
      <c r="AW96" s="22671">
        <f>IF(HLOOKUP("Mins",A1:CV300,96,FALSE)=0,0,HLOOKUP("Gs",A1:CV300,96,FALSE)/HLOOKUP("Mins",A1:CV300,96,FALSE)* 90)</f>
      </c>
      <c r="AX96" s="22672">
        <f>IF(HLOOKUP("Mins",A1:CV300,96,FALSE)=0,0,HLOOKUP("Bonus",A1:CV300,96,FALSE)/HLOOKUP("Mins",A1:CV300,96,FALSE)* 90)</f>
      </c>
      <c r="AY96" s="22673">
        <f>IF(HLOOKUP("Mins",A1:CV300,96,FALSE)=0,0,HLOOKUP("BPS",A1:CV300,96,FALSE)/HLOOKUP("Mins",A1:CV300,96,FALSE)* 90)</f>
      </c>
      <c r="AZ96" s="22674">
        <f>IF(HLOOKUP("Mins",A1:CV300,96,FALSE)=0,0,HLOOKUP("Base BPS",A1:CV300,96,FALSE)/HLOOKUP("Mins",A1:CV300,96,FALSE)* 90)</f>
      </c>
      <c r="BA96" s="22675">
        <f>IF(HLOOKUP("Mins",A1:CV300,96,FALSE)=0,0,HLOOKUP("PenTchs",A1:CV300,96,FALSE)/HLOOKUP("Mins",A1:CV300,96,FALSE)* 90)</f>
      </c>
      <c r="BB96" s="22676">
        <f>IF(HLOOKUP("Mins",A1:CV300,96,FALSE)=0,0,HLOOKUP("Shots",A1:CV300,96,FALSE)/HLOOKUP("Mins",A1:CV300,96,FALSE)* 90)</f>
      </c>
      <c r="BC96" s="22677">
        <f>IF(HLOOKUP("Mins",A1:CV300,96,FALSE)=0,0,HLOOKUP("SIB",A1:CV300,96,FALSE)/HLOOKUP("Mins",A1:CV300,96,FALSE)* 90)</f>
      </c>
      <c r="BD96" s="22678">
        <f>IF(HLOOKUP("Mins",A1:CV300,96,FALSE)=0,0,HLOOKUP("S6YD",A1:CV300,96,FALSE)/HLOOKUP("Mins",A1:CV300,96,FALSE)* 90)</f>
      </c>
      <c r="BE96" s="22679">
        <f>IF(HLOOKUP("Mins",A1:CV300,96,FALSE)=0,0,HLOOKUP("Headers",A1:CV300,96,FALSE)/HLOOKUP("Mins",A1:CV300,96,FALSE)* 90)</f>
      </c>
      <c r="BF96" s="22680">
        <f>IF(HLOOKUP("Mins",A1:CV300,96,FALSE)=0,0,HLOOKUP("SOT",A1:CV300,96,FALSE)/HLOOKUP("Mins",A1:CV300,96,FALSE)* 90)</f>
      </c>
      <c r="BG96" s="22681">
        <f>IF(HLOOKUP("Mins",A1:CV300,96,FALSE)=0,0,HLOOKUP("As",A1:CV300,96,FALSE)/HLOOKUP("Mins",A1:CV300,96,FALSE)* 90)</f>
      </c>
      <c r="BH96" s="22682">
        <f>IF(HLOOKUP("Mins",A1:CV300,96,FALSE)=0,0,HLOOKUP("FPL As",A1:CV300,96,FALSE)/HLOOKUP("Mins",A1:CV300,96,FALSE)* 90)</f>
      </c>
      <c r="BI96" s="22683">
        <f>IF(HLOOKUP("Mins",A1:CV300,96,FALSE)=0,0,HLOOKUP("BC Created",A1:CV300,96,FALSE)/HLOOKUP("Mins",A1:CV300,96,FALSE)* 90)</f>
      </c>
      <c r="BJ96" s="22684">
        <f>IF(HLOOKUP("Mins",A1:CV300,96,FALSE)=0,0,HLOOKUP("KP",A1:CV300,96,FALSE)/HLOOKUP("Mins",A1:CV300,96,FALSE)* 90)</f>
      </c>
      <c r="BK96" s="22685">
        <f>IF(HLOOKUP("Mins",A1:CV300,96,FALSE)=0,0,HLOOKUP("BC",A1:CV300,96,FALSE)/HLOOKUP("Mins",A1:CV300,96,FALSE)* 90)</f>
      </c>
      <c r="BL96" s="22686">
        <f>IF(HLOOKUP("Mins",A1:CV300,96,FALSE)=0,0,HLOOKUP("BC Miss",A1:CV300,96,FALSE)/HLOOKUP("Mins",A1:CV300,96,FALSE)* 90)</f>
      </c>
      <c r="BM96" s="22687">
        <f>IF(HLOOKUP("Mins",A1:CV300,96,FALSE)=0,0,HLOOKUP("Gs - BC",A1:CV300,96,FALSE)/HLOOKUP("Mins",A1:CV300,96,FALSE)* 90)</f>
      </c>
      <c r="BN96" s="22688">
        <f>IF(HLOOKUP("Mins",A1:CV300,96,FALSE)=0,0,HLOOKUP("GIB",A1:CV300,96,FALSE)/HLOOKUP("Mins",A1:CV300,96,FALSE)* 90)</f>
      </c>
      <c r="BO96" s="22689">
        <f>IF(HLOOKUP("Mins",A1:CV300,96,FALSE)=0,0,HLOOKUP("Gs - Open",A1:CV300,96,FALSE)/HLOOKUP("Mins",A1:CV300,96,FALSE)* 90)</f>
      </c>
      <c r="BP96" s="22690">
        <f>IF(HLOOKUP("Mins",A1:CV300,96,FALSE)=0,0,HLOOKUP("ICT Index",A1:CV300,96,FALSE)/HLOOKUP("Mins",A1:CV300,96,FALSE)* 90)</f>
      </c>
      <c r="BQ96" s="22691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2692">
        <f>0.0885*HLOOKUP("KP/90",A1:CV300,96,FALSE)</f>
      </c>
      <c r="BS96" s="22693">
        <f>5*HLOOKUP("xG/90",A1:CV300,96,FALSE)+3*HLOOKUP("xA/90",A1:CV300,96,FALSE)</f>
      </c>
      <c r="BT96" s="22694">
        <f>HLOOKUP("xPts/90",A1:CV300,96,FALSE)-(5*0.75*(HLOOKUP("PK Gs",A1:CV300,96,FALSE)+HLOOKUP("PK Miss",A1:CV300,96,FALSE))*90/HLOOKUP("Mins",A1:CV300,96,FALSE))</f>
      </c>
      <c r="BU96" s="22695">
        <f>IF(HLOOKUP("Mins",A1:CV300,96,FALSE)=0,0,HLOOKUP("fsXG",A1:CV300,96,FALSE)/HLOOKUP("Mins",A1:CV300,96,FALSE)* 90)</f>
      </c>
      <c r="BV96" s="22696">
        <f>IF(HLOOKUP("Mins",A1:CV300,96,FALSE)=0,0,HLOOKUP("fsXA",A1:CV300,96,FALSE)/HLOOKUP("Mins",A1:CV300,96,FALSE)* 90)</f>
      </c>
      <c r="BW96" s="22697">
        <f>5*HLOOKUP("fsXG/90",A1:CV300,96,FALSE)+3*HLOOKUP("fsXA/90",A1:CV300,96,FALSE)</f>
      </c>
      <c r="BX96" t="n" s="22698">
        <v>0.05191639065742493</v>
      </c>
      <c r="BY96" t="n" s="22699">
        <v>0.0</v>
      </c>
      <c r="BZ96" s="22700">
        <f>5*HLOOKUP("uXG/90",A1:CV300,96,FALSE)+3*HLOOKUP("uXA/90",A1:CV300,96,FALSE)</f>
      </c>
    </row>
    <row r="97">
      <c r="A97" t="s" s="22701">
        <v>388</v>
      </c>
      <c r="B97" t="s" s="22702">
        <v>102</v>
      </c>
      <c r="C97" t="n" s="22703">
        <v>5.0</v>
      </c>
      <c r="D97" t="n" s="22704">
        <v>225.0</v>
      </c>
      <c r="E97" t="n" s="22705">
        <v>3.0</v>
      </c>
      <c r="F97" t="n" s="22706">
        <v>61.0</v>
      </c>
      <c r="G97" t="n" s="22707">
        <v>0.0</v>
      </c>
      <c r="H97" t="n" s="22708">
        <v>9.0</v>
      </c>
      <c r="I97" t="n" s="22709">
        <v>241.0</v>
      </c>
      <c r="J97" s="22710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2711">
        <v>0.0</v>
      </c>
      <c r="L97" t="n" s="22712">
        <v>3.0</v>
      </c>
      <c r="M97" t="n" s="22713">
        <v>3.0</v>
      </c>
      <c r="N97" t="n" s="22714">
        <v>4.0</v>
      </c>
      <c r="O97" t="n" s="22715">
        <v>1.0</v>
      </c>
      <c r="P97" s="22716">
        <f>IF(HLOOKUP("Shots",A1:CV300,97,FALSE)=0,0,HLOOKUP("SIB",A1:CV300,97,FALSE)/HLOOKUP("Shots",A1:CV300,97,FALSE))</f>
      </c>
      <c r="Q97" t="n" s="22717">
        <v>0.0</v>
      </c>
      <c r="R97" s="22718">
        <f>IF(HLOOKUP("Shots",A1:CV300,97,FALSE)=0,0,HLOOKUP("S6YD",A1:CV300,97,FALSE)/HLOOKUP("Shots",A1:CV300,97,FALSE))</f>
      </c>
      <c r="S97" t="n" s="22719">
        <v>1.0</v>
      </c>
      <c r="T97" s="22720">
        <f>IF(HLOOKUP("Shots",A1:CV300,97,FALSE)=0,0,HLOOKUP("Headers",A1:CV300,97,FALSE)/HLOOKUP("Shots",A1:CV300,97,FALSE))</f>
      </c>
      <c r="U97" t="n" s="22721">
        <v>0.0</v>
      </c>
      <c r="V97" s="22722">
        <f>IF(HLOOKUP("Shots",A1:CV300,97,FALSE)=0,0,HLOOKUP("SOT",A1:CV300,97,FALSE)/HLOOKUP("Shots",A1:CV300,97,FALSE))</f>
      </c>
      <c r="W97" s="22723">
        <f>IF(HLOOKUP("Shots",A1:CV300,97,FALSE)=0,0,HLOOKUP("Gs",A1:CV300,97,FALSE)/HLOOKUP("Shots",A1:CV300,97,FALSE))</f>
      </c>
      <c r="X97" t="n" s="22724">
        <v>0.0</v>
      </c>
      <c r="Y97" t="n" s="22725">
        <v>0.0</v>
      </c>
      <c r="Z97" t="n" s="22726">
        <v>6.0</v>
      </c>
      <c r="AA97" s="22727">
        <f>IF(HLOOKUP("KP",A1:CV300,97,FALSE)=0,0,HLOOKUP("As",A1:CV300,97,FALSE)/HLOOKUP("KP",A1:CV300,97,FALSE))</f>
      </c>
      <c r="AB97" s="22728"/>
      <c r="AC97" t="n" s="22729">
        <v>0.0</v>
      </c>
      <c r="AD97" t="n" s="22730">
        <v>1.0</v>
      </c>
      <c r="AE97" t="n" s="22731">
        <v>0.0</v>
      </c>
      <c r="AF97" t="n" s="22732">
        <v>0.0</v>
      </c>
      <c r="AG97" s="22733">
        <f>IF(HLOOKUP("BC",A1:CV300,97,FALSE)=0,0,HLOOKUP("Gs - BC",A1:CV300,97,FALSE)/HLOOKUP("BC",A1:CV300,97,FALSE))</f>
      </c>
      <c r="AH97" s="22734">
        <f>HLOOKUP("BC",A1:CV300,97,FALSE) - HLOOKUP("BC Miss",A1:CV300,97,FALSE)</f>
      </c>
      <c r="AI97" s="22735">
        <f>IF(HLOOKUP("Gs",A1:CV300,97,FALSE)=0,0,HLOOKUP("Gs - BC",A1:CV300,97,FALSE)/HLOOKUP("Gs",A1:CV300,97,FALSE))</f>
      </c>
      <c r="AJ97" t="n" s="22736">
        <v>0.0</v>
      </c>
      <c r="AK97" t="n" s="22737">
        <v>0.0</v>
      </c>
      <c r="AL97" s="22738">
        <f>HLOOKUP("BC",A1:CV300,97,FALSE) - (HLOOKUP("PK Gs",A1:CV300,97,FALSE) + HLOOKUP("PK Miss",A1:CV300,97,FALSE))</f>
      </c>
      <c r="AM97" s="22739">
        <f>HLOOKUP("BC Miss",A1:CV300,97,FALSE) - HLOOKUP("PK Miss",A1:CV300,97,FALSE)</f>
      </c>
      <c r="AN97" s="22740">
        <f>IF(HLOOKUP("BC - Open",A1:CV300,97,FALSE)=0,0,HLOOKUP("BC - Open Miss",A1:CV300,97,FALSE)/HLOOKUP("BC - Open",A1:CV300,97,FALSE))</f>
      </c>
      <c r="AO97" t="n" s="22741">
        <v>0.0</v>
      </c>
      <c r="AP97" s="22742">
        <f>IF(HLOOKUP("Gs",A1:CV300,97,FALSE)=0,0,HLOOKUP("GIB",A1:CV300,97,FALSE)/HLOOKUP("Gs",A1:CV300,97,FALSE))</f>
      </c>
      <c r="AQ97" t="n" s="22743">
        <v>0.0</v>
      </c>
      <c r="AR97" s="22744">
        <f>IF(HLOOKUP("Gs",A1:CV300,97,FALSE)=0,0,HLOOKUP("Gs - Open",A1:CV300,97,FALSE)/HLOOKUP("Gs",A1:CV300,97,FALSE))</f>
      </c>
      <c r="AS97" t="n" s="22745">
        <v>0.14</v>
      </c>
      <c r="AT97" t="n" s="22746">
        <v>0.44</v>
      </c>
      <c r="AU97" s="22747">
        <f>IF(HLOOKUP("Mins",A1:CV300,97,FALSE)=0,0,HLOOKUP("Pts",A1:CV300,97,FALSE)/HLOOKUP("Mins",A1:CV300,97,FALSE)* 90)</f>
      </c>
      <c r="AV97" s="22748">
        <f>IF(HLOOKUP("Apps",A1:CV300,97,FALSE)=0,0,HLOOKUP("Pts",A1:CV300,97,FALSE)/HLOOKUP("Apps",A1:CV300,97,FALSE)* 1)</f>
      </c>
      <c r="AW97" s="22749">
        <f>IF(HLOOKUP("Mins",A1:CV300,97,FALSE)=0,0,HLOOKUP("Gs",A1:CV300,97,FALSE)/HLOOKUP("Mins",A1:CV300,97,FALSE)* 90)</f>
      </c>
      <c r="AX97" s="22750">
        <f>IF(HLOOKUP("Mins",A1:CV300,97,FALSE)=0,0,HLOOKUP("Bonus",A1:CV300,97,FALSE)/HLOOKUP("Mins",A1:CV300,97,FALSE)* 90)</f>
      </c>
      <c r="AY97" s="22751">
        <f>IF(HLOOKUP("Mins",A1:CV300,97,FALSE)=0,0,HLOOKUP("BPS",A1:CV300,97,FALSE)/HLOOKUP("Mins",A1:CV300,97,FALSE)* 90)</f>
      </c>
      <c r="AZ97" s="22752">
        <f>IF(HLOOKUP("Mins",A1:CV300,97,FALSE)=0,0,HLOOKUP("Base BPS",A1:CV300,97,FALSE)/HLOOKUP("Mins",A1:CV300,97,FALSE)* 90)</f>
      </c>
      <c r="BA97" s="22753">
        <f>IF(HLOOKUP("Mins",A1:CV300,97,FALSE)=0,0,HLOOKUP("PenTchs",A1:CV300,97,FALSE)/HLOOKUP("Mins",A1:CV300,97,FALSE)* 90)</f>
      </c>
      <c r="BB97" s="22754">
        <f>IF(HLOOKUP("Mins",A1:CV300,97,FALSE)=0,0,HLOOKUP("Shots",A1:CV300,97,FALSE)/HLOOKUP("Mins",A1:CV300,97,FALSE)* 90)</f>
      </c>
      <c r="BC97" s="22755">
        <f>IF(HLOOKUP("Mins",A1:CV300,97,FALSE)=0,0,HLOOKUP("SIB",A1:CV300,97,FALSE)/HLOOKUP("Mins",A1:CV300,97,FALSE)* 90)</f>
      </c>
      <c r="BD97" s="22756">
        <f>IF(HLOOKUP("Mins",A1:CV300,97,FALSE)=0,0,HLOOKUP("S6YD",A1:CV300,97,FALSE)/HLOOKUP("Mins",A1:CV300,97,FALSE)* 90)</f>
      </c>
      <c r="BE97" s="22757">
        <f>IF(HLOOKUP("Mins",A1:CV300,97,FALSE)=0,0,HLOOKUP("Headers",A1:CV300,97,FALSE)/HLOOKUP("Mins",A1:CV300,97,FALSE)* 90)</f>
      </c>
      <c r="BF97" s="22758">
        <f>IF(HLOOKUP("Mins",A1:CV300,97,FALSE)=0,0,HLOOKUP("SOT",A1:CV300,97,FALSE)/HLOOKUP("Mins",A1:CV300,97,FALSE)* 90)</f>
      </c>
      <c r="BG97" s="22759">
        <f>IF(HLOOKUP("Mins",A1:CV300,97,FALSE)=0,0,HLOOKUP("As",A1:CV300,97,FALSE)/HLOOKUP("Mins",A1:CV300,97,FALSE)* 90)</f>
      </c>
      <c r="BH97" s="22760">
        <f>IF(HLOOKUP("Mins",A1:CV300,97,FALSE)=0,0,HLOOKUP("FPL As",A1:CV300,97,FALSE)/HLOOKUP("Mins",A1:CV300,97,FALSE)* 90)</f>
      </c>
      <c r="BI97" s="22761">
        <f>IF(HLOOKUP("Mins",A1:CV300,97,FALSE)=0,0,HLOOKUP("BC Created",A1:CV300,97,FALSE)/HLOOKUP("Mins",A1:CV300,97,FALSE)* 90)</f>
      </c>
      <c r="BJ97" s="22762">
        <f>IF(HLOOKUP("Mins",A1:CV300,97,FALSE)=0,0,HLOOKUP("KP",A1:CV300,97,FALSE)/HLOOKUP("Mins",A1:CV300,97,FALSE)* 90)</f>
      </c>
      <c r="BK97" s="22763">
        <f>IF(HLOOKUP("Mins",A1:CV300,97,FALSE)=0,0,HLOOKUP("BC",A1:CV300,97,FALSE)/HLOOKUP("Mins",A1:CV300,97,FALSE)* 90)</f>
      </c>
      <c r="BL97" s="22764">
        <f>IF(HLOOKUP("Mins",A1:CV300,97,FALSE)=0,0,HLOOKUP("BC Miss",A1:CV300,97,FALSE)/HLOOKUP("Mins",A1:CV300,97,FALSE)* 90)</f>
      </c>
      <c r="BM97" s="22765">
        <f>IF(HLOOKUP("Mins",A1:CV300,97,FALSE)=0,0,HLOOKUP("Gs - BC",A1:CV300,97,FALSE)/HLOOKUP("Mins",A1:CV300,97,FALSE)* 90)</f>
      </c>
      <c r="BN97" s="22766">
        <f>IF(HLOOKUP("Mins",A1:CV300,97,FALSE)=0,0,HLOOKUP("GIB",A1:CV300,97,FALSE)/HLOOKUP("Mins",A1:CV300,97,FALSE)* 90)</f>
      </c>
      <c r="BO97" s="22767">
        <f>IF(HLOOKUP("Mins",A1:CV300,97,FALSE)=0,0,HLOOKUP("Gs - Open",A1:CV300,97,FALSE)/HLOOKUP("Mins",A1:CV300,97,FALSE)* 90)</f>
      </c>
      <c r="BP97" s="22768">
        <f>IF(HLOOKUP("Mins",A1:CV300,97,FALSE)=0,0,HLOOKUP("ICT Index",A1:CV300,97,FALSE)/HLOOKUP("Mins",A1:CV300,97,FALSE)* 90)</f>
      </c>
      <c r="BQ97" s="22769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2770">
        <f>0.0885*HLOOKUP("KP/90",A1:CV300,97,FALSE)</f>
      </c>
      <c r="BS97" s="22771">
        <f>5*HLOOKUP("xG/90",A1:CV300,97,FALSE)+3*HLOOKUP("xA/90",A1:CV300,97,FALSE)</f>
      </c>
      <c r="BT97" s="22772">
        <f>HLOOKUP("xPts/90",A1:CV300,97,FALSE)-(5*0.75*(HLOOKUP("PK Gs",A1:CV300,97,FALSE)+HLOOKUP("PK Miss",A1:CV300,97,FALSE))*90/HLOOKUP("Mins",A1:CV300,97,FALSE))</f>
      </c>
      <c r="BU97" s="22773">
        <f>IF(HLOOKUP("Mins",A1:CV300,97,FALSE)=0,0,HLOOKUP("fsXG",A1:CV300,97,FALSE)/HLOOKUP("Mins",A1:CV300,97,FALSE)* 90)</f>
      </c>
      <c r="BV97" s="22774">
        <f>IF(HLOOKUP("Mins",A1:CV300,97,FALSE)=0,0,HLOOKUP("fsXA",A1:CV300,97,FALSE)/HLOOKUP("Mins",A1:CV300,97,FALSE)* 90)</f>
      </c>
      <c r="BW97" s="22775">
        <f>5*HLOOKUP("fsXG/90",A1:CV300,97,FALSE)+3*HLOOKUP("fsXA/90",A1:CV300,97,FALSE)</f>
      </c>
      <c r="BX97" t="n" s="22776">
        <v>0.04335125908255577</v>
      </c>
      <c r="BY97" t="n" s="22777">
        <v>0.3172589838504791</v>
      </c>
      <c r="BZ97" s="22778">
        <f>5*HLOOKUP("uXG/90",A1:CV300,97,FALSE)+3*HLOOKUP("uXA/90",A1:CV300,97,FALSE)</f>
      </c>
    </row>
    <row r="98">
      <c r="A98" t="s" s="22779">
        <v>389</v>
      </c>
      <c r="B98" t="s" s="22780">
        <v>127</v>
      </c>
      <c r="C98" t="n" s="22781">
        <v>5.800000190734863</v>
      </c>
      <c r="D98" t="n" s="22782">
        <v>93.0</v>
      </c>
      <c r="E98" t="n" s="22783">
        <v>2.0</v>
      </c>
      <c r="F98" t="n" s="22784">
        <v>20.0</v>
      </c>
      <c r="G98" t="n" s="22785">
        <v>0.0</v>
      </c>
      <c r="H98" t="n" s="22786">
        <v>3.0</v>
      </c>
      <c r="I98" t="n" s="22787">
        <v>78.0</v>
      </c>
      <c r="J98" s="22788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2789">
        <v>0.0</v>
      </c>
      <c r="L98" t="n" s="22790">
        <v>2.0</v>
      </c>
      <c r="M98" t="n" s="22791">
        <v>4.0</v>
      </c>
      <c r="N98" t="n" s="22792">
        <v>0.0</v>
      </c>
      <c r="O98" t="n" s="22793">
        <v>0.0</v>
      </c>
      <c r="P98" s="22794">
        <f>IF(HLOOKUP("Shots",A1:CV300,98,FALSE)=0,0,HLOOKUP("SIB",A1:CV300,98,FALSE)/HLOOKUP("Shots",A1:CV300,98,FALSE))</f>
      </c>
      <c r="Q98" t="n" s="22795">
        <v>0.0</v>
      </c>
      <c r="R98" s="22796">
        <f>IF(HLOOKUP("Shots",A1:CV300,98,FALSE)=0,0,HLOOKUP("S6YD",A1:CV300,98,FALSE)/HLOOKUP("Shots",A1:CV300,98,FALSE))</f>
      </c>
      <c r="S98" t="n" s="22797">
        <v>0.0</v>
      </c>
      <c r="T98" s="22798">
        <f>IF(HLOOKUP("Shots",A1:CV300,98,FALSE)=0,0,HLOOKUP("Headers",A1:CV300,98,FALSE)/HLOOKUP("Shots",A1:CV300,98,FALSE))</f>
      </c>
      <c r="U98" t="n" s="22799">
        <v>0.0</v>
      </c>
      <c r="V98" s="22800">
        <f>IF(HLOOKUP("Shots",A1:CV300,98,FALSE)=0,0,HLOOKUP("SOT",A1:CV300,98,FALSE)/HLOOKUP("Shots",A1:CV300,98,FALSE))</f>
      </c>
      <c r="W98" s="22801">
        <f>IF(HLOOKUP("Shots",A1:CV300,98,FALSE)=0,0,HLOOKUP("Gs",A1:CV300,98,FALSE)/HLOOKUP("Shots",A1:CV300,98,FALSE))</f>
      </c>
      <c r="X98" t="n" s="22802">
        <v>0.0</v>
      </c>
      <c r="Y98" t="n" s="22803">
        <v>1.0</v>
      </c>
      <c r="Z98" t="n" s="22804">
        <v>1.0</v>
      </c>
      <c r="AA98" s="22805">
        <f>IF(HLOOKUP("KP",A1:CV300,98,FALSE)=0,0,HLOOKUP("As",A1:CV300,98,FALSE)/HLOOKUP("KP",A1:CV300,98,FALSE))</f>
      </c>
      <c r="AB98" s="22806"/>
      <c r="AC98" t="n" s="22807">
        <v>0.0</v>
      </c>
      <c r="AD98" t="n" s="22808">
        <v>0.0</v>
      </c>
      <c r="AE98" t="n" s="22809">
        <v>0.0</v>
      </c>
      <c r="AF98" t="n" s="22810">
        <v>0.0</v>
      </c>
      <c r="AG98" s="22811">
        <f>IF(HLOOKUP("BC",A1:CV300,98,FALSE)=0,0,HLOOKUP("Gs - BC",A1:CV300,98,FALSE)/HLOOKUP("BC",A1:CV300,98,FALSE))</f>
      </c>
      <c r="AH98" s="22812">
        <f>HLOOKUP("BC",A1:CV300,98,FALSE) - HLOOKUP("BC Miss",A1:CV300,98,FALSE)</f>
      </c>
      <c r="AI98" s="22813">
        <f>IF(HLOOKUP("Gs",A1:CV300,98,FALSE)=0,0,HLOOKUP("Gs - BC",A1:CV300,98,FALSE)/HLOOKUP("Gs",A1:CV300,98,FALSE))</f>
      </c>
      <c r="AJ98" t="n" s="22814">
        <v>0.0</v>
      </c>
      <c r="AK98" t="n" s="22815">
        <v>0.0</v>
      </c>
      <c r="AL98" s="22816">
        <f>HLOOKUP("BC",A1:CV300,98,FALSE) - (HLOOKUP("PK Gs",A1:CV300,98,FALSE) + HLOOKUP("PK Miss",A1:CV300,98,FALSE))</f>
      </c>
      <c r="AM98" s="22817">
        <f>HLOOKUP("BC Miss",A1:CV300,98,FALSE) - HLOOKUP("PK Miss",A1:CV300,98,FALSE)</f>
      </c>
      <c r="AN98" s="22818">
        <f>IF(HLOOKUP("BC - Open",A1:CV300,98,FALSE)=0,0,HLOOKUP("BC - Open Miss",A1:CV300,98,FALSE)/HLOOKUP("BC - Open",A1:CV300,98,FALSE))</f>
      </c>
      <c r="AO98" t="n" s="22819">
        <v>0.0</v>
      </c>
      <c r="AP98" s="22820">
        <f>IF(HLOOKUP("Gs",A1:CV300,98,FALSE)=0,0,HLOOKUP("GIB",A1:CV300,98,FALSE)/HLOOKUP("Gs",A1:CV300,98,FALSE))</f>
      </c>
      <c r="AQ98" t="n" s="22821">
        <v>0.0</v>
      </c>
      <c r="AR98" s="22822">
        <f>IF(HLOOKUP("Gs",A1:CV300,98,FALSE)=0,0,HLOOKUP("Gs - Open",A1:CV300,98,FALSE)/HLOOKUP("Gs",A1:CV300,98,FALSE))</f>
      </c>
      <c r="AS98" t="n" s="22823">
        <v>0.0</v>
      </c>
      <c r="AT98" t="n" s="22824">
        <v>0.22</v>
      </c>
      <c r="AU98" s="22825">
        <f>IF(HLOOKUP("Mins",A1:CV300,98,FALSE)=0,0,HLOOKUP("Pts",A1:CV300,98,FALSE)/HLOOKUP("Mins",A1:CV300,98,FALSE)* 90)</f>
      </c>
      <c r="AV98" s="22826">
        <f>IF(HLOOKUP("Apps",A1:CV300,98,FALSE)=0,0,HLOOKUP("Pts",A1:CV300,98,FALSE)/HLOOKUP("Apps",A1:CV300,98,FALSE)* 1)</f>
      </c>
      <c r="AW98" s="22827">
        <f>IF(HLOOKUP("Mins",A1:CV300,98,FALSE)=0,0,HLOOKUP("Gs",A1:CV300,98,FALSE)/HLOOKUP("Mins",A1:CV300,98,FALSE)* 90)</f>
      </c>
      <c r="AX98" s="22828">
        <f>IF(HLOOKUP("Mins",A1:CV300,98,FALSE)=0,0,HLOOKUP("Bonus",A1:CV300,98,FALSE)/HLOOKUP("Mins",A1:CV300,98,FALSE)* 90)</f>
      </c>
      <c r="AY98" s="22829">
        <f>IF(HLOOKUP("Mins",A1:CV300,98,FALSE)=0,0,HLOOKUP("BPS",A1:CV300,98,FALSE)/HLOOKUP("Mins",A1:CV300,98,FALSE)* 90)</f>
      </c>
      <c r="AZ98" s="22830">
        <f>IF(HLOOKUP("Mins",A1:CV300,98,FALSE)=0,0,HLOOKUP("Base BPS",A1:CV300,98,FALSE)/HLOOKUP("Mins",A1:CV300,98,FALSE)* 90)</f>
      </c>
      <c r="BA98" s="22831">
        <f>IF(HLOOKUP("Mins",A1:CV300,98,FALSE)=0,0,HLOOKUP("PenTchs",A1:CV300,98,FALSE)/HLOOKUP("Mins",A1:CV300,98,FALSE)* 90)</f>
      </c>
      <c r="BB98" s="22832">
        <f>IF(HLOOKUP("Mins",A1:CV300,98,FALSE)=0,0,HLOOKUP("Shots",A1:CV300,98,FALSE)/HLOOKUP("Mins",A1:CV300,98,FALSE)* 90)</f>
      </c>
      <c r="BC98" s="22833">
        <f>IF(HLOOKUP("Mins",A1:CV300,98,FALSE)=0,0,HLOOKUP("SIB",A1:CV300,98,FALSE)/HLOOKUP("Mins",A1:CV300,98,FALSE)* 90)</f>
      </c>
      <c r="BD98" s="22834">
        <f>IF(HLOOKUP("Mins",A1:CV300,98,FALSE)=0,0,HLOOKUP("S6YD",A1:CV300,98,FALSE)/HLOOKUP("Mins",A1:CV300,98,FALSE)* 90)</f>
      </c>
      <c r="BE98" s="22835">
        <f>IF(HLOOKUP("Mins",A1:CV300,98,FALSE)=0,0,HLOOKUP("Headers",A1:CV300,98,FALSE)/HLOOKUP("Mins",A1:CV300,98,FALSE)* 90)</f>
      </c>
      <c r="BF98" s="22836">
        <f>IF(HLOOKUP("Mins",A1:CV300,98,FALSE)=0,0,HLOOKUP("SOT",A1:CV300,98,FALSE)/HLOOKUP("Mins",A1:CV300,98,FALSE)* 90)</f>
      </c>
      <c r="BG98" s="22837">
        <f>IF(HLOOKUP("Mins",A1:CV300,98,FALSE)=0,0,HLOOKUP("As",A1:CV300,98,FALSE)/HLOOKUP("Mins",A1:CV300,98,FALSE)* 90)</f>
      </c>
      <c r="BH98" s="22838">
        <f>IF(HLOOKUP("Mins",A1:CV300,98,FALSE)=0,0,HLOOKUP("FPL As",A1:CV300,98,FALSE)/HLOOKUP("Mins",A1:CV300,98,FALSE)* 90)</f>
      </c>
      <c r="BI98" s="22839">
        <f>IF(HLOOKUP("Mins",A1:CV300,98,FALSE)=0,0,HLOOKUP("BC Created",A1:CV300,98,FALSE)/HLOOKUP("Mins",A1:CV300,98,FALSE)* 90)</f>
      </c>
      <c r="BJ98" s="22840">
        <f>IF(HLOOKUP("Mins",A1:CV300,98,FALSE)=0,0,HLOOKUP("KP",A1:CV300,98,FALSE)/HLOOKUP("Mins",A1:CV300,98,FALSE)* 90)</f>
      </c>
      <c r="BK98" s="22841">
        <f>IF(HLOOKUP("Mins",A1:CV300,98,FALSE)=0,0,HLOOKUP("BC",A1:CV300,98,FALSE)/HLOOKUP("Mins",A1:CV300,98,FALSE)* 90)</f>
      </c>
      <c r="BL98" s="22842">
        <f>IF(HLOOKUP("Mins",A1:CV300,98,FALSE)=0,0,HLOOKUP("BC Miss",A1:CV300,98,FALSE)/HLOOKUP("Mins",A1:CV300,98,FALSE)* 90)</f>
      </c>
      <c r="BM98" s="22843">
        <f>IF(HLOOKUP("Mins",A1:CV300,98,FALSE)=0,0,HLOOKUP("Gs - BC",A1:CV300,98,FALSE)/HLOOKUP("Mins",A1:CV300,98,FALSE)* 90)</f>
      </c>
      <c r="BN98" s="22844">
        <f>IF(HLOOKUP("Mins",A1:CV300,98,FALSE)=0,0,HLOOKUP("GIB",A1:CV300,98,FALSE)/HLOOKUP("Mins",A1:CV300,98,FALSE)* 90)</f>
      </c>
      <c r="BO98" s="22845">
        <f>IF(HLOOKUP("Mins",A1:CV300,98,FALSE)=0,0,HLOOKUP("Gs - Open",A1:CV300,98,FALSE)/HLOOKUP("Mins",A1:CV300,98,FALSE)* 90)</f>
      </c>
      <c r="BP98" s="22846">
        <f>IF(HLOOKUP("Mins",A1:CV300,98,FALSE)=0,0,HLOOKUP("ICT Index",A1:CV300,98,FALSE)/HLOOKUP("Mins",A1:CV300,98,FALSE)* 90)</f>
      </c>
      <c r="BQ98" s="22847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2848">
        <f>0.0885*HLOOKUP("KP/90",A1:CV300,98,FALSE)</f>
      </c>
      <c r="BS98" s="22849">
        <f>5*HLOOKUP("xG/90",A1:CV300,98,FALSE)+3*HLOOKUP("xA/90",A1:CV300,98,FALSE)</f>
      </c>
      <c r="BT98" s="22850">
        <f>HLOOKUP("xPts/90",A1:CV300,98,FALSE)-(5*0.75*(HLOOKUP("PK Gs",A1:CV300,98,FALSE)+HLOOKUP("PK Miss",A1:CV300,98,FALSE))*90/HLOOKUP("Mins",A1:CV300,98,FALSE))</f>
      </c>
      <c r="BU98" s="22851">
        <f>IF(HLOOKUP("Mins",A1:CV300,98,FALSE)=0,0,HLOOKUP("fsXG",A1:CV300,98,FALSE)/HLOOKUP("Mins",A1:CV300,98,FALSE)* 90)</f>
      </c>
      <c r="BV98" s="22852">
        <f>IF(HLOOKUP("Mins",A1:CV300,98,FALSE)=0,0,HLOOKUP("fsXA",A1:CV300,98,FALSE)/HLOOKUP("Mins",A1:CV300,98,FALSE)* 90)</f>
      </c>
      <c r="BW98" s="22853">
        <f>5*HLOOKUP("fsXG/90",A1:CV300,98,FALSE)+3*HLOOKUP("fsXA/90",A1:CV300,98,FALSE)</f>
      </c>
      <c r="BX98" t="n" s="22854">
        <v>0.0</v>
      </c>
      <c r="BY98" t="n" s="22855">
        <v>0.1493178904056549</v>
      </c>
      <c r="BZ98" s="22856">
        <f>5*HLOOKUP("uXG/90",A1:CV300,98,FALSE)+3*HLOOKUP("uXA/90",A1:CV300,98,FALSE)</f>
      </c>
    </row>
    <row r="99">
      <c r="A99" t="s" s="22857">
        <v>390</v>
      </c>
      <c r="B99" t="s" s="22858">
        <v>94</v>
      </c>
      <c r="C99" t="n" s="22859">
        <v>7.300000190734863</v>
      </c>
      <c r="D99" t="n" s="22860">
        <v>194.0</v>
      </c>
      <c r="E99" t="n" s="22861">
        <v>4.0</v>
      </c>
      <c r="F99" t="n" s="22862">
        <v>15.0</v>
      </c>
      <c r="G99" t="n" s="22863">
        <v>0.0</v>
      </c>
      <c r="H99" t="n" s="22864">
        <v>0.0</v>
      </c>
      <c r="I99" t="n" s="22865">
        <v>49.0</v>
      </c>
      <c r="J99" s="22866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2867">
        <v>0.0</v>
      </c>
      <c r="L99" t="n" s="22868">
        <v>1.0</v>
      </c>
      <c r="M99" t="n" s="22869">
        <v>6.0</v>
      </c>
      <c r="N99" t="n" s="22870">
        <v>4.0</v>
      </c>
      <c r="O99" t="n" s="22871">
        <v>1.0</v>
      </c>
      <c r="P99" s="22872">
        <f>IF(HLOOKUP("Shots",A1:CV300,99,FALSE)=0,0,HLOOKUP("SIB",A1:CV300,99,FALSE)/HLOOKUP("Shots",A1:CV300,99,FALSE))</f>
      </c>
      <c r="Q99" t="n" s="22873">
        <v>1.0</v>
      </c>
      <c r="R99" s="22874">
        <f>IF(HLOOKUP("Shots",A1:CV300,99,FALSE)=0,0,HLOOKUP("S6YD",A1:CV300,99,FALSE)/HLOOKUP("Shots",A1:CV300,99,FALSE))</f>
      </c>
      <c r="S99" t="n" s="22875">
        <v>0.0</v>
      </c>
      <c r="T99" s="22876">
        <f>IF(HLOOKUP("Shots",A1:CV300,99,FALSE)=0,0,HLOOKUP("Headers",A1:CV300,99,FALSE)/HLOOKUP("Shots",A1:CV300,99,FALSE))</f>
      </c>
      <c r="U99" t="n" s="22877">
        <v>1.0</v>
      </c>
      <c r="V99" s="22878">
        <f>IF(HLOOKUP("Shots",A1:CV300,99,FALSE)=0,0,HLOOKUP("SOT",A1:CV300,99,FALSE)/HLOOKUP("Shots",A1:CV300,99,FALSE))</f>
      </c>
      <c r="W99" s="22879">
        <f>IF(HLOOKUP("Shots",A1:CV300,99,FALSE)=0,0,HLOOKUP("Gs",A1:CV300,99,FALSE)/HLOOKUP("Shots",A1:CV300,99,FALSE))</f>
      </c>
      <c r="X99" t="n" s="22880">
        <v>0.0</v>
      </c>
      <c r="Y99" t="n" s="22881">
        <v>0.0</v>
      </c>
      <c r="Z99" t="n" s="22882">
        <v>2.0</v>
      </c>
      <c r="AA99" s="22883">
        <f>IF(HLOOKUP("KP",A1:CV300,99,FALSE)=0,0,HLOOKUP("As",A1:CV300,99,FALSE)/HLOOKUP("KP",A1:CV300,99,FALSE))</f>
      </c>
      <c r="AB99" s="22884"/>
      <c r="AC99" t="n" s="22885">
        <v>0.0</v>
      </c>
      <c r="AD99" t="n" s="22886">
        <v>0.0</v>
      </c>
      <c r="AE99" t="n" s="22887">
        <v>1.0</v>
      </c>
      <c r="AF99" t="n" s="22888">
        <v>1.0</v>
      </c>
      <c r="AG99" s="22889">
        <f>IF(HLOOKUP("BC",A1:CV300,99,FALSE)=0,0,HLOOKUP("Gs - BC",A1:CV300,99,FALSE)/HLOOKUP("BC",A1:CV300,99,FALSE))</f>
      </c>
      <c r="AH99" s="22890">
        <f>HLOOKUP("BC",A1:CV300,99,FALSE) - HLOOKUP("BC Miss",A1:CV300,99,FALSE)</f>
      </c>
      <c r="AI99" s="22891">
        <f>IF(HLOOKUP("Gs",A1:CV300,99,FALSE)=0,0,HLOOKUP("Gs - BC",A1:CV300,99,FALSE)/HLOOKUP("Gs",A1:CV300,99,FALSE))</f>
      </c>
      <c r="AJ99" t="n" s="22892">
        <v>0.0</v>
      </c>
      <c r="AK99" t="n" s="22893">
        <v>0.0</v>
      </c>
      <c r="AL99" s="22894">
        <f>HLOOKUP("BC",A1:CV300,99,FALSE) - (HLOOKUP("PK Gs",A1:CV300,99,FALSE) + HLOOKUP("PK Miss",A1:CV300,99,FALSE))</f>
      </c>
      <c r="AM99" s="22895">
        <f>HLOOKUP("BC Miss",A1:CV300,99,FALSE) - HLOOKUP("PK Miss",A1:CV300,99,FALSE)</f>
      </c>
      <c r="AN99" s="22896">
        <f>IF(HLOOKUP("BC - Open",A1:CV300,99,FALSE)=0,0,HLOOKUP("BC - Open Miss",A1:CV300,99,FALSE)/HLOOKUP("BC - Open",A1:CV300,99,FALSE))</f>
      </c>
      <c r="AO99" t="n" s="22897">
        <v>0.0</v>
      </c>
      <c r="AP99" s="22898">
        <f>IF(HLOOKUP("Gs",A1:CV300,99,FALSE)=0,0,HLOOKUP("GIB",A1:CV300,99,FALSE)/HLOOKUP("Gs",A1:CV300,99,FALSE))</f>
      </c>
      <c r="AQ99" t="n" s="22899">
        <v>0.0</v>
      </c>
      <c r="AR99" s="22900">
        <f>IF(HLOOKUP("Gs",A1:CV300,99,FALSE)=0,0,HLOOKUP("Gs - Open",A1:CV300,99,FALSE)/HLOOKUP("Gs",A1:CV300,99,FALSE))</f>
      </c>
      <c r="AS99" t="n" s="22901">
        <v>0.69</v>
      </c>
      <c r="AT99" t="n" s="22902">
        <v>0.2</v>
      </c>
      <c r="AU99" s="22903">
        <f>IF(HLOOKUP("Mins",A1:CV300,99,FALSE)=0,0,HLOOKUP("Pts",A1:CV300,99,FALSE)/HLOOKUP("Mins",A1:CV300,99,FALSE)* 90)</f>
      </c>
      <c r="AV99" s="22904">
        <f>IF(HLOOKUP("Apps",A1:CV300,99,FALSE)=0,0,HLOOKUP("Pts",A1:CV300,99,FALSE)/HLOOKUP("Apps",A1:CV300,99,FALSE)* 1)</f>
      </c>
      <c r="AW99" s="22905">
        <f>IF(HLOOKUP("Mins",A1:CV300,99,FALSE)=0,0,HLOOKUP("Gs",A1:CV300,99,FALSE)/HLOOKUP("Mins",A1:CV300,99,FALSE)* 90)</f>
      </c>
      <c r="AX99" s="22906">
        <f>IF(HLOOKUP("Mins",A1:CV300,99,FALSE)=0,0,HLOOKUP("Bonus",A1:CV300,99,FALSE)/HLOOKUP("Mins",A1:CV300,99,FALSE)* 90)</f>
      </c>
      <c r="AY99" s="22907">
        <f>IF(HLOOKUP("Mins",A1:CV300,99,FALSE)=0,0,HLOOKUP("BPS",A1:CV300,99,FALSE)/HLOOKUP("Mins",A1:CV300,99,FALSE)* 90)</f>
      </c>
      <c r="AZ99" s="22908">
        <f>IF(HLOOKUP("Mins",A1:CV300,99,FALSE)=0,0,HLOOKUP("Base BPS",A1:CV300,99,FALSE)/HLOOKUP("Mins",A1:CV300,99,FALSE)* 90)</f>
      </c>
      <c r="BA99" s="22909">
        <f>IF(HLOOKUP("Mins",A1:CV300,99,FALSE)=0,0,HLOOKUP("PenTchs",A1:CV300,99,FALSE)/HLOOKUP("Mins",A1:CV300,99,FALSE)* 90)</f>
      </c>
      <c r="BB99" s="22910">
        <f>IF(HLOOKUP("Mins",A1:CV300,99,FALSE)=0,0,HLOOKUP("Shots",A1:CV300,99,FALSE)/HLOOKUP("Mins",A1:CV300,99,FALSE)* 90)</f>
      </c>
      <c r="BC99" s="22911">
        <f>IF(HLOOKUP("Mins",A1:CV300,99,FALSE)=0,0,HLOOKUP("SIB",A1:CV300,99,FALSE)/HLOOKUP("Mins",A1:CV300,99,FALSE)* 90)</f>
      </c>
      <c r="BD99" s="22912">
        <f>IF(HLOOKUP("Mins",A1:CV300,99,FALSE)=0,0,HLOOKUP("S6YD",A1:CV300,99,FALSE)/HLOOKUP("Mins",A1:CV300,99,FALSE)* 90)</f>
      </c>
      <c r="BE99" s="22913">
        <f>IF(HLOOKUP("Mins",A1:CV300,99,FALSE)=0,0,HLOOKUP("Headers",A1:CV300,99,FALSE)/HLOOKUP("Mins",A1:CV300,99,FALSE)* 90)</f>
      </c>
      <c r="BF99" s="22914">
        <f>IF(HLOOKUP("Mins",A1:CV300,99,FALSE)=0,0,HLOOKUP("SOT",A1:CV300,99,FALSE)/HLOOKUP("Mins",A1:CV300,99,FALSE)* 90)</f>
      </c>
      <c r="BG99" s="22915">
        <f>IF(HLOOKUP("Mins",A1:CV300,99,FALSE)=0,0,HLOOKUP("As",A1:CV300,99,FALSE)/HLOOKUP("Mins",A1:CV300,99,FALSE)* 90)</f>
      </c>
      <c r="BH99" s="22916">
        <f>IF(HLOOKUP("Mins",A1:CV300,99,FALSE)=0,0,HLOOKUP("FPL As",A1:CV300,99,FALSE)/HLOOKUP("Mins",A1:CV300,99,FALSE)* 90)</f>
      </c>
      <c r="BI99" s="22917">
        <f>IF(HLOOKUP("Mins",A1:CV300,99,FALSE)=0,0,HLOOKUP("BC Created",A1:CV300,99,FALSE)/HLOOKUP("Mins",A1:CV300,99,FALSE)* 90)</f>
      </c>
      <c r="BJ99" s="22918">
        <f>IF(HLOOKUP("Mins",A1:CV300,99,FALSE)=0,0,HLOOKUP("KP",A1:CV300,99,FALSE)/HLOOKUP("Mins",A1:CV300,99,FALSE)* 90)</f>
      </c>
      <c r="BK99" s="22919">
        <f>IF(HLOOKUP("Mins",A1:CV300,99,FALSE)=0,0,HLOOKUP("BC",A1:CV300,99,FALSE)/HLOOKUP("Mins",A1:CV300,99,FALSE)* 90)</f>
      </c>
      <c r="BL99" s="22920">
        <f>IF(HLOOKUP("Mins",A1:CV300,99,FALSE)=0,0,HLOOKUP("BC Miss",A1:CV300,99,FALSE)/HLOOKUP("Mins",A1:CV300,99,FALSE)* 90)</f>
      </c>
      <c r="BM99" s="22921">
        <f>IF(HLOOKUP("Mins",A1:CV300,99,FALSE)=0,0,HLOOKUP("Gs - BC",A1:CV300,99,FALSE)/HLOOKUP("Mins",A1:CV300,99,FALSE)* 90)</f>
      </c>
      <c r="BN99" s="22922">
        <f>IF(HLOOKUP("Mins",A1:CV300,99,FALSE)=0,0,HLOOKUP("GIB",A1:CV300,99,FALSE)/HLOOKUP("Mins",A1:CV300,99,FALSE)* 90)</f>
      </c>
      <c r="BO99" s="22923">
        <f>IF(HLOOKUP("Mins",A1:CV300,99,FALSE)=0,0,HLOOKUP("Gs - Open",A1:CV300,99,FALSE)/HLOOKUP("Mins",A1:CV300,99,FALSE)* 90)</f>
      </c>
      <c r="BP99" s="22924">
        <f>IF(HLOOKUP("Mins",A1:CV300,99,FALSE)=0,0,HLOOKUP("ICT Index",A1:CV300,99,FALSE)/HLOOKUP("Mins",A1:CV300,99,FALSE)* 90)</f>
      </c>
      <c r="BQ99" s="22925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2926">
        <f>0.0885*HLOOKUP("KP/90",A1:CV300,99,FALSE)</f>
      </c>
      <c r="BS99" s="22927">
        <f>5*HLOOKUP("xG/90",A1:CV300,99,FALSE)+3*HLOOKUP("xA/90",A1:CV300,99,FALSE)</f>
      </c>
      <c r="BT99" s="22928">
        <f>HLOOKUP("xPts/90",A1:CV300,99,FALSE)-(5*0.75*(HLOOKUP("PK Gs",A1:CV300,99,FALSE)+HLOOKUP("PK Miss",A1:CV300,99,FALSE))*90/HLOOKUP("Mins",A1:CV300,99,FALSE))</f>
      </c>
      <c r="BU99" s="22929">
        <f>IF(HLOOKUP("Mins",A1:CV300,99,FALSE)=0,0,HLOOKUP("fsXG",A1:CV300,99,FALSE)/HLOOKUP("Mins",A1:CV300,99,FALSE)* 90)</f>
      </c>
      <c r="BV99" s="22930">
        <f>IF(HLOOKUP("Mins",A1:CV300,99,FALSE)=0,0,HLOOKUP("fsXA",A1:CV300,99,FALSE)/HLOOKUP("Mins",A1:CV300,99,FALSE)* 90)</f>
      </c>
      <c r="BW99" s="22931">
        <f>5*HLOOKUP("fsXG/90",A1:CV300,99,FALSE)+3*HLOOKUP("fsXA/90",A1:CV300,99,FALSE)</f>
      </c>
      <c r="BX99" t="n" s="22932">
        <v>0.31771740317344666</v>
      </c>
      <c r="BY99" t="n" s="22933">
        <v>0.027593929320573807</v>
      </c>
      <c r="BZ99" s="22934">
        <f>5*HLOOKUP("uXG/90",A1:CV300,99,FALSE)+3*HLOOKUP("uXA/90",A1:CV300,99,FALSE)</f>
      </c>
    </row>
    <row r="100">
      <c r="A100" t="s" s="22935">
        <v>391</v>
      </c>
      <c r="B100" t="s" s="22936">
        <v>100</v>
      </c>
      <c r="C100" t="n" s="22937">
        <v>5.400000095367432</v>
      </c>
      <c r="D100" t="n" s="22938">
        <v>540.0</v>
      </c>
      <c r="E100" t="n" s="22939">
        <v>6.0</v>
      </c>
      <c r="F100" t="n" s="22940">
        <v>79.0</v>
      </c>
      <c r="G100" t="n" s="22941">
        <v>0.0</v>
      </c>
      <c r="H100" t="n" s="22942">
        <v>11.0</v>
      </c>
      <c r="I100" t="n" s="22943">
        <v>405.0</v>
      </c>
      <c r="J100" s="22944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2945">
        <v>0.0</v>
      </c>
      <c r="L100" t="n" s="22946">
        <v>4.0</v>
      </c>
      <c r="M100" t="n" s="22947">
        <v>2.0</v>
      </c>
      <c r="N100" t="n" s="22948">
        <v>7.0</v>
      </c>
      <c r="O100" t="n" s="22949">
        <v>1.0</v>
      </c>
      <c r="P100" s="22950">
        <f>IF(HLOOKUP("Shots",A1:CV300,100,FALSE)=0,0,HLOOKUP("SIB",A1:CV300,100,FALSE)/HLOOKUP("Shots",A1:CV300,100,FALSE))</f>
      </c>
      <c r="Q100" t="n" s="22951">
        <v>0.0</v>
      </c>
      <c r="R100" s="22952">
        <f>IF(HLOOKUP("Shots",A1:CV300,100,FALSE)=0,0,HLOOKUP("S6YD",A1:CV300,100,FALSE)/HLOOKUP("Shots",A1:CV300,100,FALSE))</f>
      </c>
      <c r="S100" t="n" s="22953">
        <v>0.0</v>
      </c>
      <c r="T100" s="22954">
        <f>IF(HLOOKUP("Shots",A1:CV300,100,FALSE)=0,0,HLOOKUP("Headers",A1:CV300,100,FALSE)/HLOOKUP("Shots",A1:CV300,100,FALSE))</f>
      </c>
      <c r="U100" t="n" s="22955">
        <v>3.0</v>
      </c>
      <c r="V100" s="22956">
        <f>IF(HLOOKUP("Shots",A1:CV300,100,FALSE)=0,0,HLOOKUP("SOT",A1:CV300,100,FALSE)/HLOOKUP("Shots",A1:CV300,100,FALSE))</f>
      </c>
      <c r="W100" s="22957">
        <f>IF(HLOOKUP("Shots",A1:CV300,100,FALSE)=0,0,HLOOKUP("Gs",A1:CV300,100,FALSE)/HLOOKUP("Shots",A1:CV300,100,FALSE))</f>
      </c>
      <c r="X100" t="n" s="22958">
        <v>2.0</v>
      </c>
      <c r="Y100" t="n" s="22959">
        <v>7.0</v>
      </c>
      <c r="Z100" t="n" s="22960">
        <v>18.0</v>
      </c>
      <c r="AA100" s="22961">
        <f>IF(HLOOKUP("KP",A1:CV300,100,FALSE)=0,0,HLOOKUP("As",A1:CV300,100,FALSE)/HLOOKUP("KP",A1:CV300,100,FALSE))</f>
      </c>
      <c r="AB100" s="22962"/>
      <c r="AC100" t="n" s="22963">
        <v>38.0</v>
      </c>
      <c r="AD100" t="n" s="22964">
        <v>2.0</v>
      </c>
      <c r="AE100" t="n" s="22965">
        <v>0.0</v>
      </c>
      <c r="AF100" t="n" s="22966">
        <v>0.0</v>
      </c>
      <c r="AG100" s="22967">
        <f>IF(HLOOKUP("BC",A1:CV300,100,FALSE)=0,0,HLOOKUP("Gs - BC",A1:CV300,100,FALSE)/HLOOKUP("BC",A1:CV300,100,FALSE))</f>
      </c>
      <c r="AH100" s="22968">
        <f>HLOOKUP("BC",A1:CV300,100,FALSE) - HLOOKUP("BC Miss",A1:CV300,100,FALSE)</f>
      </c>
      <c r="AI100" s="22969">
        <f>IF(HLOOKUP("Gs",A1:CV300,100,FALSE)=0,0,HLOOKUP("Gs - BC",A1:CV300,100,FALSE)/HLOOKUP("Gs",A1:CV300,100,FALSE))</f>
      </c>
      <c r="AJ100" t="n" s="22970">
        <v>0.0</v>
      </c>
      <c r="AK100" t="n" s="22971">
        <v>0.0</v>
      </c>
      <c r="AL100" s="22972">
        <f>HLOOKUP("BC",A1:CV300,100,FALSE) - (HLOOKUP("PK Gs",A1:CV300,100,FALSE) + HLOOKUP("PK Miss",A1:CV300,100,FALSE))</f>
      </c>
      <c r="AM100" s="22973">
        <f>HLOOKUP("BC Miss",A1:CV300,100,FALSE) - HLOOKUP("PK Miss",A1:CV300,100,FALSE)</f>
      </c>
      <c r="AN100" s="22974">
        <f>IF(HLOOKUP("BC - Open",A1:CV300,100,FALSE)=0,0,HLOOKUP("BC - Open Miss",A1:CV300,100,FALSE)/HLOOKUP("BC - Open",A1:CV300,100,FALSE))</f>
      </c>
      <c r="AO100" t="n" s="22975">
        <v>0.0</v>
      </c>
      <c r="AP100" s="22976">
        <f>IF(HLOOKUP("Gs",A1:CV300,100,FALSE)=0,0,HLOOKUP("GIB",A1:CV300,100,FALSE)/HLOOKUP("Gs",A1:CV300,100,FALSE))</f>
      </c>
      <c r="AQ100" t="n" s="22977">
        <v>0.0</v>
      </c>
      <c r="AR100" s="22978">
        <f>IF(HLOOKUP("Gs",A1:CV300,100,FALSE)=0,0,HLOOKUP("Gs - Open",A1:CV300,100,FALSE)/HLOOKUP("Gs",A1:CV300,100,FALSE))</f>
      </c>
      <c r="AS100" t="n" s="22979">
        <v>0.33</v>
      </c>
      <c r="AT100" t="n" s="22980">
        <v>0.87</v>
      </c>
      <c r="AU100" s="22981">
        <f>IF(HLOOKUP("Mins",A1:CV300,100,FALSE)=0,0,HLOOKUP("Pts",A1:CV300,100,FALSE)/HLOOKUP("Mins",A1:CV300,100,FALSE)* 90)</f>
      </c>
      <c r="AV100" s="22982">
        <f>IF(HLOOKUP("Apps",A1:CV300,100,FALSE)=0,0,HLOOKUP("Pts",A1:CV300,100,FALSE)/HLOOKUP("Apps",A1:CV300,100,FALSE)* 1)</f>
      </c>
      <c r="AW100" s="22983">
        <f>IF(HLOOKUP("Mins",A1:CV300,100,FALSE)=0,0,HLOOKUP("Gs",A1:CV300,100,FALSE)/HLOOKUP("Mins",A1:CV300,100,FALSE)* 90)</f>
      </c>
      <c r="AX100" s="22984">
        <f>IF(HLOOKUP("Mins",A1:CV300,100,FALSE)=0,0,HLOOKUP("Bonus",A1:CV300,100,FALSE)/HLOOKUP("Mins",A1:CV300,100,FALSE)* 90)</f>
      </c>
      <c r="AY100" s="22985">
        <f>IF(HLOOKUP("Mins",A1:CV300,100,FALSE)=0,0,HLOOKUP("BPS",A1:CV300,100,FALSE)/HLOOKUP("Mins",A1:CV300,100,FALSE)* 90)</f>
      </c>
      <c r="AZ100" s="22986">
        <f>IF(HLOOKUP("Mins",A1:CV300,100,FALSE)=0,0,HLOOKUP("Base BPS",A1:CV300,100,FALSE)/HLOOKUP("Mins",A1:CV300,100,FALSE)* 90)</f>
      </c>
      <c r="BA100" s="22987">
        <f>IF(HLOOKUP("Mins",A1:CV300,100,FALSE)=0,0,HLOOKUP("PenTchs",A1:CV300,100,FALSE)/HLOOKUP("Mins",A1:CV300,100,FALSE)* 90)</f>
      </c>
      <c r="BB100" s="22988">
        <f>IF(HLOOKUP("Mins",A1:CV300,100,FALSE)=0,0,HLOOKUP("Shots",A1:CV300,100,FALSE)/HLOOKUP("Mins",A1:CV300,100,FALSE)* 90)</f>
      </c>
      <c r="BC100" s="22989">
        <f>IF(HLOOKUP("Mins",A1:CV300,100,FALSE)=0,0,HLOOKUP("SIB",A1:CV300,100,FALSE)/HLOOKUP("Mins",A1:CV300,100,FALSE)* 90)</f>
      </c>
      <c r="BD100" s="22990">
        <f>IF(HLOOKUP("Mins",A1:CV300,100,FALSE)=0,0,HLOOKUP("S6YD",A1:CV300,100,FALSE)/HLOOKUP("Mins",A1:CV300,100,FALSE)* 90)</f>
      </c>
      <c r="BE100" s="22991">
        <f>IF(HLOOKUP("Mins",A1:CV300,100,FALSE)=0,0,HLOOKUP("Headers",A1:CV300,100,FALSE)/HLOOKUP("Mins",A1:CV300,100,FALSE)* 90)</f>
      </c>
      <c r="BF100" s="22992">
        <f>IF(HLOOKUP("Mins",A1:CV300,100,FALSE)=0,0,HLOOKUP("SOT",A1:CV300,100,FALSE)/HLOOKUP("Mins",A1:CV300,100,FALSE)* 90)</f>
      </c>
      <c r="BG100" s="22993">
        <f>IF(HLOOKUP("Mins",A1:CV300,100,FALSE)=0,0,HLOOKUP("As",A1:CV300,100,FALSE)/HLOOKUP("Mins",A1:CV300,100,FALSE)* 90)</f>
      </c>
      <c r="BH100" s="22994">
        <f>IF(HLOOKUP("Mins",A1:CV300,100,FALSE)=0,0,HLOOKUP("FPL As",A1:CV300,100,FALSE)/HLOOKUP("Mins",A1:CV300,100,FALSE)* 90)</f>
      </c>
      <c r="BI100" s="22995">
        <f>IF(HLOOKUP("Mins",A1:CV300,100,FALSE)=0,0,HLOOKUP("BC Created",A1:CV300,100,FALSE)/HLOOKUP("Mins",A1:CV300,100,FALSE)* 90)</f>
      </c>
      <c r="BJ100" s="22996">
        <f>IF(HLOOKUP("Mins",A1:CV300,100,FALSE)=0,0,HLOOKUP("KP",A1:CV300,100,FALSE)/HLOOKUP("Mins",A1:CV300,100,FALSE)* 90)</f>
      </c>
      <c r="BK100" s="22997">
        <f>IF(HLOOKUP("Mins",A1:CV300,100,FALSE)=0,0,HLOOKUP("BC",A1:CV300,100,FALSE)/HLOOKUP("Mins",A1:CV300,100,FALSE)* 90)</f>
      </c>
      <c r="BL100" s="22998">
        <f>IF(HLOOKUP("Mins",A1:CV300,100,FALSE)=0,0,HLOOKUP("BC Miss",A1:CV300,100,FALSE)/HLOOKUP("Mins",A1:CV300,100,FALSE)* 90)</f>
      </c>
      <c r="BM100" s="22999">
        <f>IF(HLOOKUP("Mins",A1:CV300,100,FALSE)=0,0,HLOOKUP("Gs - BC",A1:CV300,100,FALSE)/HLOOKUP("Mins",A1:CV300,100,FALSE)* 90)</f>
      </c>
      <c r="BN100" s="23000">
        <f>IF(HLOOKUP("Mins",A1:CV300,100,FALSE)=0,0,HLOOKUP("GIB",A1:CV300,100,FALSE)/HLOOKUP("Mins",A1:CV300,100,FALSE)* 90)</f>
      </c>
      <c r="BO100" s="23001">
        <f>IF(HLOOKUP("Mins",A1:CV300,100,FALSE)=0,0,HLOOKUP("Gs - Open",A1:CV300,100,FALSE)/HLOOKUP("Mins",A1:CV300,100,FALSE)* 90)</f>
      </c>
      <c r="BP100" s="23002">
        <f>IF(HLOOKUP("Mins",A1:CV300,100,FALSE)=0,0,HLOOKUP("ICT Index",A1:CV300,100,FALSE)/HLOOKUP("Mins",A1:CV300,100,FALSE)* 90)</f>
      </c>
      <c r="BQ100" s="23003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3004">
        <f>0.0885*HLOOKUP("KP/90",A1:CV300,100,FALSE)</f>
      </c>
      <c r="BS100" s="23005">
        <f>5*HLOOKUP("xG/90",A1:CV300,100,FALSE)+3*HLOOKUP("xA/90",A1:CV300,100,FALSE)</f>
      </c>
      <c r="BT100" s="23006">
        <f>HLOOKUP("xPts/90",A1:CV300,100,FALSE)-(5*0.75*(HLOOKUP("PK Gs",A1:CV300,100,FALSE)+HLOOKUP("PK Miss",A1:CV300,100,FALSE))*90/HLOOKUP("Mins",A1:CV300,100,FALSE))</f>
      </c>
      <c r="BU100" s="23007">
        <f>IF(HLOOKUP("Mins",A1:CV300,100,FALSE)=0,0,HLOOKUP("fsXG",A1:CV300,100,FALSE)/HLOOKUP("Mins",A1:CV300,100,FALSE)* 90)</f>
      </c>
      <c r="BV100" s="23008">
        <f>IF(HLOOKUP("Mins",A1:CV300,100,FALSE)=0,0,HLOOKUP("fsXA",A1:CV300,100,FALSE)/HLOOKUP("Mins",A1:CV300,100,FALSE)* 90)</f>
      </c>
      <c r="BW100" s="23009">
        <f>5*HLOOKUP("fsXG/90",A1:CV300,100,FALSE)+3*HLOOKUP("fsXA/90",A1:CV300,100,FALSE)</f>
      </c>
      <c r="BX100" t="n" s="23010">
        <v>0.03895264491438866</v>
      </c>
      <c r="BY100" t="n" s="23011">
        <v>0.2210274338722229</v>
      </c>
      <c r="BZ100" s="23012">
        <f>5*HLOOKUP("uXG/90",A1:CV300,100,FALSE)+3*HLOOKUP("uXA/90",A1:CV300,100,FALSE)</f>
      </c>
    </row>
    <row r="101">
      <c r="A101" t="s" s="23013">
        <v>392</v>
      </c>
      <c r="B101" t="s" s="23014">
        <v>147</v>
      </c>
      <c r="C101" t="n" s="23015">
        <v>6.800000190734863</v>
      </c>
      <c r="D101" t="n" s="23016">
        <v>6.0</v>
      </c>
      <c r="E101" t="n" s="23017">
        <v>1.0</v>
      </c>
      <c r="F101" t="n" s="23018">
        <v>10.0</v>
      </c>
      <c r="G101" t="n" s="23019">
        <v>0.0</v>
      </c>
      <c r="H101" t="n" s="23020">
        <v>0.0</v>
      </c>
      <c r="I101" t="n" s="23021">
        <v>40.0</v>
      </c>
      <c r="J101" s="23022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3023">
        <v>0.0</v>
      </c>
      <c r="L101" t="n" s="23024">
        <v>1.0</v>
      </c>
      <c r="M101" t="n" s="23025">
        <v>0.0</v>
      </c>
      <c r="N101" t="n" s="23026">
        <v>0.0</v>
      </c>
      <c r="O101" t="n" s="23027">
        <v>0.0</v>
      </c>
      <c r="P101" s="23028">
        <f>IF(HLOOKUP("Shots",A1:CV300,101,FALSE)=0,0,HLOOKUP("SIB",A1:CV300,101,FALSE)/HLOOKUP("Shots",A1:CV300,101,FALSE))</f>
      </c>
      <c r="Q101" t="n" s="23029">
        <v>0.0</v>
      </c>
      <c r="R101" s="23030">
        <f>IF(HLOOKUP("Shots",A1:CV300,101,FALSE)=0,0,HLOOKUP("S6YD",A1:CV300,101,FALSE)/HLOOKUP("Shots",A1:CV300,101,FALSE))</f>
      </c>
      <c r="S101" t="n" s="23031">
        <v>0.0</v>
      </c>
      <c r="T101" s="23032">
        <f>IF(HLOOKUP("Shots",A1:CV300,101,FALSE)=0,0,HLOOKUP("Headers",A1:CV300,101,FALSE)/HLOOKUP("Shots",A1:CV300,101,FALSE))</f>
      </c>
      <c r="U101" t="n" s="23033">
        <v>0.0</v>
      </c>
      <c r="V101" s="23034">
        <f>IF(HLOOKUP("Shots",A1:CV300,101,FALSE)=0,0,HLOOKUP("SOT",A1:CV300,101,FALSE)/HLOOKUP("Shots",A1:CV300,101,FALSE))</f>
      </c>
      <c r="W101" s="23035">
        <f>IF(HLOOKUP("Shots",A1:CV300,101,FALSE)=0,0,HLOOKUP("Gs",A1:CV300,101,FALSE)/HLOOKUP("Shots",A1:CV300,101,FALSE))</f>
      </c>
      <c r="X101" t="n" s="23036">
        <v>0.0</v>
      </c>
      <c r="Y101" t="n" s="23037">
        <v>0.0</v>
      </c>
      <c r="Z101" t="n" s="23038">
        <v>0.0</v>
      </c>
      <c r="AA101" s="23039">
        <f>IF(HLOOKUP("KP",A1:CV300,101,FALSE)=0,0,HLOOKUP("As",A1:CV300,101,FALSE)/HLOOKUP("KP",A1:CV300,101,FALSE))</f>
      </c>
      <c r="AB101" s="23040"/>
      <c r="AC101" t="n" s="23041">
        <v>0.0</v>
      </c>
      <c r="AD101" t="n" s="23042">
        <v>0.0</v>
      </c>
      <c r="AE101" t="n" s="23043">
        <v>0.0</v>
      </c>
      <c r="AF101" t="n" s="23044">
        <v>0.0</v>
      </c>
      <c r="AG101" s="23045">
        <f>IF(HLOOKUP("BC",A1:CV300,101,FALSE)=0,0,HLOOKUP("Gs - BC",A1:CV300,101,FALSE)/HLOOKUP("BC",A1:CV300,101,FALSE))</f>
      </c>
      <c r="AH101" s="23046">
        <f>HLOOKUP("BC",A1:CV300,101,FALSE) - HLOOKUP("BC Miss",A1:CV300,101,FALSE)</f>
      </c>
      <c r="AI101" s="23047">
        <f>IF(HLOOKUP("Gs",A1:CV300,101,FALSE)=0,0,HLOOKUP("Gs - BC",A1:CV300,101,FALSE)/HLOOKUP("Gs",A1:CV300,101,FALSE))</f>
      </c>
      <c r="AJ101" t="n" s="23048">
        <v>0.0</v>
      </c>
      <c r="AK101" t="n" s="23049">
        <v>0.0</v>
      </c>
      <c r="AL101" s="23050">
        <f>HLOOKUP("BC",A1:CV300,101,FALSE) - (HLOOKUP("PK Gs",A1:CV300,101,FALSE) + HLOOKUP("PK Miss",A1:CV300,101,FALSE))</f>
      </c>
      <c r="AM101" s="23051">
        <f>HLOOKUP("BC Miss",A1:CV300,101,FALSE) - HLOOKUP("PK Miss",A1:CV300,101,FALSE)</f>
      </c>
      <c r="AN101" s="23052">
        <f>IF(HLOOKUP("BC - Open",A1:CV300,101,FALSE)=0,0,HLOOKUP("BC - Open Miss",A1:CV300,101,FALSE)/HLOOKUP("BC - Open",A1:CV300,101,FALSE))</f>
      </c>
      <c r="AO101" t="n" s="23053">
        <v>0.0</v>
      </c>
      <c r="AP101" s="23054">
        <f>IF(HLOOKUP("Gs",A1:CV300,101,FALSE)=0,0,HLOOKUP("GIB",A1:CV300,101,FALSE)/HLOOKUP("Gs",A1:CV300,101,FALSE))</f>
      </c>
      <c r="AQ101" t="n" s="23055">
        <v>0.0</v>
      </c>
      <c r="AR101" s="23056">
        <f>IF(HLOOKUP("Gs",A1:CV300,101,FALSE)=0,0,HLOOKUP("Gs - Open",A1:CV300,101,FALSE)/HLOOKUP("Gs",A1:CV300,101,FALSE))</f>
      </c>
      <c r="AS101" t="n" s="23057">
        <v>0.0</v>
      </c>
      <c r="AT101" t="n" s="23058">
        <v>0.01</v>
      </c>
      <c r="AU101" s="23059">
        <f>IF(HLOOKUP("Mins",A1:CV300,101,FALSE)=0,0,HLOOKUP("Pts",A1:CV300,101,FALSE)/HLOOKUP("Mins",A1:CV300,101,FALSE)* 90)</f>
      </c>
      <c r="AV101" s="23060">
        <f>IF(HLOOKUP("Apps",A1:CV300,101,FALSE)=0,0,HLOOKUP("Pts",A1:CV300,101,FALSE)/HLOOKUP("Apps",A1:CV300,101,FALSE)* 1)</f>
      </c>
      <c r="AW101" s="23061">
        <f>IF(HLOOKUP("Mins",A1:CV300,101,FALSE)=0,0,HLOOKUP("Gs",A1:CV300,101,FALSE)/HLOOKUP("Mins",A1:CV300,101,FALSE)* 90)</f>
      </c>
      <c r="AX101" s="23062">
        <f>IF(HLOOKUP("Mins",A1:CV300,101,FALSE)=0,0,HLOOKUP("Bonus",A1:CV300,101,FALSE)/HLOOKUP("Mins",A1:CV300,101,FALSE)* 90)</f>
      </c>
      <c r="AY101" s="23063">
        <f>IF(HLOOKUP("Mins",A1:CV300,101,FALSE)=0,0,HLOOKUP("BPS",A1:CV300,101,FALSE)/HLOOKUP("Mins",A1:CV300,101,FALSE)* 90)</f>
      </c>
      <c r="AZ101" s="23064">
        <f>IF(HLOOKUP("Mins",A1:CV300,101,FALSE)=0,0,HLOOKUP("Base BPS",A1:CV300,101,FALSE)/HLOOKUP("Mins",A1:CV300,101,FALSE)* 90)</f>
      </c>
      <c r="BA101" s="23065">
        <f>IF(HLOOKUP("Mins",A1:CV300,101,FALSE)=0,0,HLOOKUP("PenTchs",A1:CV300,101,FALSE)/HLOOKUP("Mins",A1:CV300,101,FALSE)* 90)</f>
      </c>
      <c r="BB101" s="23066">
        <f>IF(HLOOKUP("Mins",A1:CV300,101,FALSE)=0,0,HLOOKUP("Shots",A1:CV300,101,FALSE)/HLOOKUP("Mins",A1:CV300,101,FALSE)* 90)</f>
      </c>
      <c r="BC101" s="23067">
        <f>IF(HLOOKUP("Mins",A1:CV300,101,FALSE)=0,0,HLOOKUP("SIB",A1:CV300,101,FALSE)/HLOOKUP("Mins",A1:CV300,101,FALSE)* 90)</f>
      </c>
      <c r="BD101" s="23068">
        <f>IF(HLOOKUP("Mins",A1:CV300,101,FALSE)=0,0,HLOOKUP("S6YD",A1:CV300,101,FALSE)/HLOOKUP("Mins",A1:CV300,101,FALSE)* 90)</f>
      </c>
      <c r="BE101" s="23069">
        <f>IF(HLOOKUP("Mins",A1:CV300,101,FALSE)=0,0,HLOOKUP("Headers",A1:CV300,101,FALSE)/HLOOKUP("Mins",A1:CV300,101,FALSE)* 90)</f>
      </c>
      <c r="BF101" s="23070">
        <f>IF(HLOOKUP("Mins",A1:CV300,101,FALSE)=0,0,HLOOKUP("SOT",A1:CV300,101,FALSE)/HLOOKUP("Mins",A1:CV300,101,FALSE)* 90)</f>
      </c>
      <c r="BG101" s="23071">
        <f>IF(HLOOKUP("Mins",A1:CV300,101,FALSE)=0,0,HLOOKUP("As",A1:CV300,101,FALSE)/HLOOKUP("Mins",A1:CV300,101,FALSE)* 90)</f>
      </c>
      <c r="BH101" s="23072">
        <f>IF(HLOOKUP("Mins",A1:CV300,101,FALSE)=0,0,HLOOKUP("FPL As",A1:CV300,101,FALSE)/HLOOKUP("Mins",A1:CV300,101,FALSE)* 90)</f>
      </c>
      <c r="BI101" s="23073">
        <f>IF(HLOOKUP("Mins",A1:CV300,101,FALSE)=0,0,HLOOKUP("BC Created",A1:CV300,101,FALSE)/HLOOKUP("Mins",A1:CV300,101,FALSE)* 90)</f>
      </c>
      <c r="BJ101" s="23074">
        <f>IF(HLOOKUP("Mins",A1:CV300,101,FALSE)=0,0,HLOOKUP("KP",A1:CV300,101,FALSE)/HLOOKUP("Mins",A1:CV300,101,FALSE)* 90)</f>
      </c>
      <c r="BK101" s="23075">
        <f>IF(HLOOKUP("Mins",A1:CV300,101,FALSE)=0,0,HLOOKUP("BC",A1:CV300,101,FALSE)/HLOOKUP("Mins",A1:CV300,101,FALSE)* 90)</f>
      </c>
      <c r="BL101" s="23076">
        <f>IF(HLOOKUP("Mins",A1:CV300,101,FALSE)=0,0,HLOOKUP("BC Miss",A1:CV300,101,FALSE)/HLOOKUP("Mins",A1:CV300,101,FALSE)* 90)</f>
      </c>
      <c r="BM101" s="23077">
        <f>IF(HLOOKUP("Mins",A1:CV300,101,FALSE)=0,0,HLOOKUP("Gs - BC",A1:CV300,101,FALSE)/HLOOKUP("Mins",A1:CV300,101,FALSE)* 90)</f>
      </c>
      <c r="BN101" s="23078">
        <f>IF(HLOOKUP("Mins",A1:CV300,101,FALSE)=0,0,HLOOKUP("GIB",A1:CV300,101,FALSE)/HLOOKUP("Mins",A1:CV300,101,FALSE)* 90)</f>
      </c>
      <c r="BO101" s="23079">
        <f>IF(HLOOKUP("Mins",A1:CV300,101,FALSE)=0,0,HLOOKUP("Gs - Open",A1:CV300,101,FALSE)/HLOOKUP("Mins",A1:CV300,101,FALSE)* 90)</f>
      </c>
      <c r="BP101" s="23080">
        <f>IF(HLOOKUP("Mins",A1:CV300,101,FALSE)=0,0,HLOOKUP("ICT Index",A1:CV300,101,FALSE)/HLOOKUP("Mins",A1:CV300,101,FALSE)* 90)</f>
      </c>
      <c r="BQ101" s="23081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3082">
        <f>0.0885*HLOOKUP("KP/90",A1:CV300,101,FALSE)</f>
      </c>
      <c r="BS101" s="23083">
        <f>5*HLOOKUP("xG/90",A1:CV300,101,FALSE)+3*HLOOKUP("xA/90",A1:CV300,101,FALSE)</f>
      </c>
      <c r="BT101" s="23084">
        <f>HLOOKUP("xPts/90",A1:CV300,101,FALSE)-(5*0.75*(HLOOKUP("PK Gs",A1:CV300,101,FALSE)+HLOOKUP("PK Miss",A1:CV300,101,FALSE))*90/HLOOKUP("Mins",A1:CV300,101,FALSE))</f>
      </c>
      <c r="BU101" s="23085">
        <f>IF(HLOOKUP("Mins",A1:CV300,101,FALSE)=0,0,HLOOKUP("fsXG",A1:CV300,101,FALSE)/HLOOKUP("Mins",A1:CV300,101,FALSE)* 90)</f>
      </c>
      <c r="BV101" s="23086">
        <f>IF(HLOOKUP("Mins",A1:CV300,101,FALSE)=0,0,HLOOKUP("fsXA",A1:CV300,101,FALSE)/HLOOKUP("Mins",A1:CV300,101,FALSE)* 90)</f>
      </c>
      <c r="BW101" s="23087">
        <f>5*HLOOKUP("fsXG/90",A1:CV300,101,FALSE)+3*HLOOKUP("fsXA/90",A1:CV300,101,FALSE)</f>
      </c>
      <c r="BX101" t="n" s="23088">
        <v>0.0</v>
      </c>
      <c r="BY101" t="n" s="23089">
        <v>0.0</v>
      </c>
      <c r="BZ101" s="23090">
        <f>5*HLOOKUP("uXG/90",A1:CV300,101,FALSE)+3*HLOOKUP("uXA/90",A1:CV300,101,FALSE)</f>
      </c>
    </row>
    <row r="102">
      <c r="A102" t="s" s="23091">
        <v>393</v>
      </c>
      <c r="B102" t="s" s="23092">
        <v>90</v>
      </c>
      <c r="C102" t="n" s="23093">
        <v>4.900000095367432</v>
      </c>
      <c r="D102" t="n" s="23094">
        <v>470.0</v>
      </c>
      <c r="E102" t="n" s="23095">
        <v>6.0</v>
      </c>
      <c r="F102" t="n" s="23096">
        <v>45.0</v>
      </c>
      <c r="G102" t="n" s="23097">
        <v>0.0</v>
      </c>
      <c r="H102" t="n" s="23098">
        <v>0.0</v>
      </c>
      <c r="I102" t="n" s="23099">
        <v>247.0</v>
      </c>
      <c r="J102" s="23100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3101">
        <v>0.0</v>
      </c>
      <c r="L102" t="n" s="23102">
        <v>2.0</v>
      </c>
      <c r="M102" t="n" s="23103">
        <v>5.0</v>
      </c>
      <c r="N102" t="n" s="23104">
        <v>6.0</v>
      </c>
      <c r="O102" t="n" s="23105">
        <v>3.0</v>
      </c>
      <c r="P102" s="23106">
        <f>IF(HLOOKUP("Shots",A1:CV300,102,FALSE)=0,0,HLOOKUP("SIB",A1:CV300,102,FALSE)/HLOOKUP("Shots",A1:CV300,102,FALSE))</f>
      </c>
      <c r="Q102" t="n" s="23107">
        <v>0.0</v>
      </c>
      <c r="R102" s="23108">
        <f>IF(HLOOKUP("Shots",A1:CV300,102,FALSE)=0,0,HLOOKUP("S6YD",A1:CV300,102,FALSE)/HLOOKUP("Shots",A1:CV300,102,FALSE))</f>
      </c>
      <c r="S102" t="n" s="23109">
        <v>1.0</v>
      </c>
      <c r="T102" s="23110">
        <f>IF(HLOOKUP("Shots",A1:CV300,102,FALSE)=0,0,HLOOKUP("Headers",A1:CV300,102,FALSE)/HLOOKUP("Shots",A1:CV300,102,FALSE))</f>
      </c>
      <c r="U102" t="n" s="23111">
        <v>1.0</v>
      </c>
      <c r="V102" s="23112">
        <f>IF(HLOOKUP("Shots",A1:CV300,102,FALSE)=0,0,HLOOKUP("SOT",A1:CV300,102,FALSE)/HLOOKUP("Shots",A1:CV300,102,FALSE))</f>
      </c>
      <c r="W102" s="23113">
        <f>IF(HLOOKUP("Shots",A1:CV300,102,FALSE)=0,0,HLOOKUP("Gs",A1:CV300,102,FALSE)/HLOOKUP("Shots",A1:CV300,102,FALSE))</f>
      </c>
      <c r="X102" t="n" s="23114">
        <v>0.0</v>
      </c>
      <c r="Y102" t="n" s="23115">
        <v>1.0</v>
      </c>
      <c r="Z102" t="n" s="23116">
        <v>2.0</v>
      </c>
      <c r="AA102" s="23117">
        <f>IF(HLOOKUP("KP",A1:CV300,102,FALSE)=0,0,HLOOKUP("As",A1:CV300,102,FALSE)/HLOOKUP("KP",A1:CV300,102,FALSE))</f>
      </c>
      <c r="AB102" s="23118"/>
      <c r="AC102" t="n" s="23119">
        <v>0.0</v>
      </c>
      <c r="AD102" t="n" s="23120">
        <v>1.0</v>
      </c>
      <c r="AE102" t="n" s="23121">
        <v>0.0</v>
      </c>
      <c r="AF102" t="n" s="23122">
        <v>0.0</v>
      </c>
      <c r="AG102" s="23123">
        <f>IF(HLOOKUP("BC",A1:CV300,102,FALSE)=0,0,HLOOKUP("Gs - BC",A1:CV300,102,FALSE)/HLOOKUP("BC",A1:CV300,102,FALSE))</f>
      </c>
      <c r="AH102" s="23124">
        <f>HLOOKUP("BC",A1:CV300,102,FALSE) - HLOOKUP("BC Miss",A1:CV300,102,FALSE)</f>
      </c>
      <c r="AI102" s="23125">
        <f>IF(HLOOKUP("Gs",A1:CV300,102,FALSE)=0,0,HLOOKUP("Gs - BC",A1:CV300,102,FALSE)/HLOOKUP("Gs",A1:CV300,102,FALSE))</f>
      </c>
      <c r="AJ102" t="n" s="23126">
        <v>0.0</v>
      </c>
      <c r="AK102" t="n" s="23127">
        <v>0.0</v>
      </c>
      <c r="AL102" s="23128">
        <f>HLOOKUP("BC",A1:CV300,102,FALSE) - (HLOOKUP("PK Gs",A1:CV300,102,FALSE) + HLOOKUP("PK Miss",A1:CV300,102,FALSE))</f>
      </c>
      <c r="AM102" s="23129">
        <f>HLOOKUP("BC Miss",A1:CV300,102,FALSE) - HLOOKUP("PK Miss",A1:CV300,102,FALSE)</f>
      </c>
      <c r="AN102" s="23130">
        <f>IF(HLOOKUP("BC - Open",A1:CV300,102,FALSE)=0,0,HLOOKUP("BC - Open Miss",A1:CV300,102,FALSE)/HLOOKUP("BC - Open",A1:CV300,102,FALSE))</f>
      </c>
      <c r="AO102" t="n" s="23131">
        <v>0.0</v>
      </c>
      <c r="AP102" s="23132">
        <f>IF(HLOOKUP("Gs",A1:CV300,102,FALSE)=0,0,HLOOKUP("GIB",A1:CV300,102,FALSE)/HLOOKUP("Gs",A1:CV300,102,FALSE))</f>
      </c>
      <c r="AQ102" t="n" s="23133">
        <v>0.0</v>
      </c>
      <c r="AR102" s="23134">
        <f>IF(HLOOKUP("Gs",A1:CV300,102,FALSE)=0,0,HLOOKUP("Gs - Open",A1:CV300,102,FALSE)/HLOOKUP("Gs",A1:CV300,102,FALSE))</f>
      </c>
      <c r="AS102" t="n" s="23135">
        <v>0.33</v>
      </c>
      <c r="AT102" t="n" s="23136">
        <v>0.24</v>
      </c>
      <c r="AU102" s="23137">
        <f>IF(HLOOKUP("Mins",A1:CV300,102,FALSE)=0,0,HLOOKUP("Pts",A1:CV300,102,FALSE)/HLOOKUP("Mins",A1:CV300,102,FALSE)* 90)</f>
      </c>
      <c r="AV102" s="23138">
        <f>IF(HLOOKUP("Apps",A1:CV300,102,FALSE)=0,0,HLOOKUP("Pts",A1:CV300,102,FALSE)/HLOOKUP("Apps",A1:CV300,102,FALSE)* 1)</f>
      </c>
      <c r="AW102" s="23139">
        <f>IF(HLOOKUP("Mins",A1:CV300,102,FALSE)=0,0,HLOOKUP("Gs",A1:CV300,102,FALSE)/HLOOKUP("Mins",A1:CV300,102,FALSE)* 90)</f>
      </c>
      <c r="AX102" s="23140">
        <f>IF(HLOOKUP("Mins",A1:CV300,102,FALSE)=0,0,HLOOKUP("Bonus",A1:CV300,102,FALSE)/HLOOKUP("Mins",A1:CV300,102,FALSE)* 90)</f>
      </c>
      <c r="AY102" s="23141">
        <f>IF(HLOOKUP("Mins",A1:CV300,102,FALSE)=0,0,HLOOKUP("BPS",A1:CV300,102,FALSE)/HLOOKUP("Mins",A1:CV300,102,FALSE)* 90)</f>
      </c>
      <c r="AZ102" s="23142">
        <f>IF(HLOOKUP("Mins",A1:CV300,102,FALSE)=0,0,HLOOKUP("Base BPS",A1:CV300,102,FALSE)/HLOOKUP("Mins",A1:CV300,102,FALSE)* 90)</f>
      </c>
      <c r="BA102" s="23143">
        <f>IF(HLOOKUP("Mins",A1:CV300,102,FALSE)=0,0,HLOOKUP("PenTchs",A1:CV300,102,FALSE)/HLOOKUP("Mins",A1:CV300,102,FALSE)* 90)</f>
      </c>
      <c r="BB102" s="23144">
        <f>IF(HLOOKUP("Mins",A1:CV300,102,FALSE)=0,0,HLOOKUP("Shots",A1:CV300,102,FALSE)/HLOOKUP("Mins",A1:CV300,102,FALSE)* 90)</f>
      </c>
      <c r="BC102" s="23145">
        <f>IF(HLOOKUP("Mins",A1:CV300,102,FALSE)=0,0,HLOOKUP("SIB",A1:CV300,102,FALSE)/HLOOKUP("Mins",A1:CV300,102,FALSE)* 90)</f>
      </c>
      <c r="BD102" s="23146">
        <f>IF(HLOOKUP("Mins",A1:CV300,102,FALSE)=0,0,HLOOKUP("S6YD",A1:CV300,102,FALSE)/HLOOKUP("Mins",A1:CV300,102,FALSE)* 90)</f>
      </c>
      <c r="BE102" s="23147">
        <f>IF(HLOOKUP("Mins",A1:CV300,102,FALSE)=0,0,HLOOKUP("Headers",A1:CV300,102,FALSE)/HLOOKUP("Mins",A1:CV300,102,FALSE)* 90)</f>
      </c>
      <c r="BF102" s="23148">
        <f>IF(HLOOKUP("Mins",A1:CV300,102,FALSE)=0,0,HLOOKUP("SOT",A1:CV300,102,FALSE)/HLOOKUP("Mins",A1:CV300,102,FALSE)* 90)</f>
      </c>
      <c r="BG102" s="23149">
        <f>IF(HLOOKUP("Mins",A1:CV300,102,FALSE)=0,0,HLOOKUP("As",A1:CV300,102,FALSE)/HLOOKUP("Mins",A1:CV300,102,FALSE)* 90)</f>
      </c>
      <c r="BH102" s="23150">
        <f>IF(HLOOKUP("Mins",A1:CV300,102,FALSE)=0,0,HLOOKUP("FPL As",A1:CV300,102,FALSE)/HLOOKUP("Mins",A1:CV300,102,FALSE)* 90)</f>
      </c>
      <c r="BI102" s="23151">
        <f>IF(HLOOKUP("Mins",A1:CV300,102,FALSE)=0,0,HLOOKUP("BC Created",A1:CV300,102,FALSE)/HLOOKUP("Mins",A1:CV300,102,FALSE)* 90)</f>
      </c>
      <c r="BJ102" s="23152">
        <f>IF(HLOOKUP("Mins",A1:CV300,102,FALSE)=0,0,HLOOKUP("KP",A1:CV300,102,FALSE)/HLOOKUP("Mins",A1:CV300,102,FALSE)* 90)</f>
      </c>
      <c r="BK102" s="23153">
        <f>IF(HLOOKUP("Mins",A1:CV300,102,FALSE)=0,0,HLOOKUP("BC",A1:CV300,102,FALSE)/HLOOKUP("Mins",A1:CV300,102,FALSE)* 90)</f>
      </c>
      <c r="BL102" s="23154">
        <f>IF(HLOOKUP("Mins",A1:CV300,102,FALSE)=0,0,HLOOKUP("BC Miss",A1:CV300,102,FALSE)/HLOOKUP("Mins",A1:CV300,102,FALSE)* 90)</f>
      </c>
      <c r="BM102" s="23155">
        <f>IF(HLOOKUP("Mins",A1:CV300,102,FALSE)=0,0,HLOOKUP("Gs - BC",A1:CV300,102,FALSE)/HLOOKUP("Mins",A1:CV300,102,FALSE)* 90)</f>
      </c>
      <c r="BN102" s="23156">
        <f>IF(HLOOKUP("Mins",A1:CV300,102,FALSE)=0,0,HLOOKUP("GIB",A1:CV300,102,FALSE)/HLOOKUP("Mins",A1:CV300,102,FALSE)* 90)</f>
      </c>
      <c r="BO102" s="23157">
        <f>IF(HLOOKUP("Mins",A1:CV300,102,FALSE)=0,0,HLOOKUP("Gs - Open",A1:CV300,102,FALSE)/HLOOKUP("Mins",A1:CV300,102,FALSE)* 90)</f>
      </c>
      <c r="BP102" s="23158">
        <f>IF(HLOOKUP("Mins",A1:CV300,102,FALSE)=0,0,HLOOKUP("ICT Index",A1:CV300,102,FALSE)/HLOOKUP("Mins",A1:CV300,102,FALSE)* 90)</f>
      </c>
      <c r="BQ102" s="23159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3160">
        <f>0.0885*HLOOKUP("KP/90",A1:CV300,102,FALSE)</f>
      </c>
      <c r="BS102" s="23161">
        <f>5*HLOOKUP("xG/90",A1:CV300,102,FALSE)+3*HLOOKUP("xA/90",A1:CV300,102,FALSE)</f>
      </c>
      <c r="BT102" s="23162">
        <f>HLOOKUP("xPts/90",A1:CV300,102,FALSE)-(5*0.75*(HLOOKUP("PK Gs",A1:CV300,102,FALSE)+HLOOKUP("PK Miss",A1:CV300,102,FALSE))*90/HLOOKUP("Mins",A1:CV300,102,FALSE))</f>
      </c>
      <c r="BU102" s="23163">
        <f>IF(HLOOKUP("Mins",A1:CV300,102,FALSE)=0,0,HLOOKUP("fsXG",A1:CV300,102,FALSE)/HLOOKUP("Mins",A1:CV300,102,FALSE)* 90)</f>
      </c>
      <c r="BV102" s="23164">
        <f>IF(HLOOKUP("Mins",A1:CV300,102,FALSE)=0,0,HLOOKUP("fsXA",A1:CV300,102,FALSE)/HLOOKUP("Mins",A1:CV300,102,FALSE)* 90)</f>
      </c>
      <c r="BW102" s="23165">
        <f>5*HLOOKUP("fsXG/90",A1:CV300,102,FALSE)+3*HLOOKUP("fsXA/90",A1:CV300,102,FALSE)</f>
      </c>
      <c r="BX102" t="n" s="23166">
        <v>0.07191573083400726</v>
      </c>
      <c r="BY102" t="n" s="23167">
        <v>0.07251903414726257</v>
      </c>
      <c r="BZ102" s="23168">
        <f>5*HLOOKUP("uXG/90",A1:CV300,102,FALSE)+3*HLOOKUP("uXA/90",A1:CV300,102,FALSE)</f>
      </c>
    </row>
    <row r="103">
      <c r="A103" t="s" s="23169">
        <v>394</v>
      </c>
      <c r="B103" t="s" s="23170">
        <v>85</v>
      </c>
      <c r="C103" t="n" s="23171">
        <v>5.099999904632568</v>
      </c>
      <c r="D103" t="n" s="23172">
        <v>53.0</v>
      </c>
      <c r="E103" t="n" s="23173">
        <v>1.0</v>
      </c>
      <c r="F103" t="n" s="23174">
        <v>11.0</v>
      </c>
      <c r="G103" t="n" s="23175">
        <v>0.0</v>
      </c>
      <c r="H103" t="n" s="23176">
        <v>0.0</v>
      </c>
      <c r="I103" t="n" s="23177">
        <v>32.0</v>
      </c>
      <c r="J103" s="23178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3179">
        <v>0.0</v>
      </c>
      <c r="L103" t="n" s="23180">
        <v>1.0</v>
      </c>
      <c r="M103" t="n" s="23181">
        <v>0.0</v>
      </c>
      <c r="N103" t="n" s="23182">
        <v>0.0</v>
      </c>
      <c r="O103" t="n" s="23183">
        <v>0.0</v>
      </c>
      <c r="P103" s="23184">
        <f>IF(HLOOKUP("Shots",A1:CV300,103,FALSE)=0,0,HLOOKUP("SIB",A1:CV300,103,FALSE)/HLOOKUP("Shots",A1:CV300,103,FALSE))</f>
      </c>
      <c r="Q103" t="n" s="23185">
        <v>0.0</v>
      </c>
      <c r="R103" s="23186">
        <f>IF(HLOOKUP("Shots",A1:CV300,103,FALSE)=0,0,HLOOKUP("S6YD",A1:CV300,103,FALSE)/HLOOKUP("Shots",A1:CV300,103,FALSE))</f>
      </c>
      <c r="S103" t="n" s="23187">
        <v>0.0</v>
      </c>
      <c r="T103" s="23188">
        <f>IF(HLOOKUP("Shots",A1:CV300,103,FALSE)=0,0,HLOOKUP("Headers",A1:CV300,103,FALSE)/HLOOKUP("Shots",A1:CV300,103,FALSE))</f>
      </c>
      <c r="U103" t="n" s="23189">
        <v>0.0</v>
      </c>
      <c r="V103" s="23190">
        <f>IF(HLOOKUP("Shots",A1:CV300,103,FALSE)=0,0,HLOOKUP("SOT",A1:CV300,103,FALSE)/HLOOKUP("Shots",A1:CV300,103,FALSE))</f>
      </c>
      <c r="W103" s="23191">
        <f>IF(HLOOKUP("Shots",A1:CV300,103,FALSE)=0,0,HLOOKUP("Gs",A1:CV300,103,FALSE)/HLOOKUP("Shots",A1:CV300,103,FALSE))</f>
      </c>
      <c r="X103" t="n" s="23192">
        <v>0.0</v>
      </c>
      <c r="Y103" t="n" s="23193">
        <v>0.0</v>
      </c>
      <c r="Z103" t="n" s="23194">
        <v>0.0</v>
      </c>
      <c r="AA103" s="23195">
        <f>IF(HLOOKUP("KP",A1:CV300,103,FALSE)=0,0,HLOOKUP("As",A1:CV300,103,FALSE)/HLOOKUP("KP",A1:CV300,103,FALSE))</f>
      </c>
      <c r="AB103" s="23196"/>
      <c r="AC103" t="n" s="23197">
        <v>0.0</v>
      </c>
      <c r="AD103" t="n" s="23198">
        <v>0.0</v>
      </c>
      <c r="AE103" t="n" s="23199">
        <v>0.0</v>
      </c>
      <c r="AF103" t="n" s="23200">
        <v>0.0</v>
      </c>
      <c r="AG103" s="23201">
        <f>IF(HLOOKUP("BC",A1:CV300,103,FALSE)=0,0,HLOOKUP("Gs - BC",A1:CV300,103,FALSE)/HLOOKUP("BC",A1:CV300,103,FALSE))</f>
      </c>
      <c r="AH103" s="23202">
        <f>HLOOKUP("BC",A1:CV300,103,FALSE) - HLOOKUP("BC Miss",A1:CV300,103,FALSE)</f>
      </c>
      <c r="AI103" s="23203">
        <f>IF(HLOOKUP("Gs",A1:CV300,103,FALSE)=0,0,HLOOKUP("Gs - BC",A1:CV300,103,FALSE)/HLOOKUP("Gs",A1:CV300,103,FALSE))</f>
      </c>
      <c r="AJ103" t="n" s="23204">
        <v>0.0</v>
      </c>
      <c r="AK103" t="n" s="23205">
        <v>0.0</v>
      </c>
      <c r="AL103" s="23206">
        <f>HLOOKUP("BC",A1:CV300,103,FALSE) - (HLOOKUP("PK Gs",A1:CV300,103,FALSE) + HLOOKUP("PK Miss",A1:CV300,103,FALSE))</f>
      </c>
      <c r="AM103" s="23207">
        <f>HLOOKUP("BC Miss",A1:CV300,103,FALSE) - HLOOKUP("PK Miss",A1:CV300,103,FALSE)</f>
      </c>
      <c r="AN103" s="23208">
        <f>IF(HLOOKUP("BC - Open",A1:CV300,103,FALSE)=0,0,HLOOKUP("BC - Open Miss",A1:CV300,103,FALSE)/HLOOKUP("BC - Open",A1:CV300,103,FALSE))</f>
      </c>
      <c r="AO103" t="n" s="23209">
        <v>0.0</v>
      </c>
      <c r="AP103" s="23210">
        <f>IF(HLOOKUP("Gs",A1:CV300,103,FALSE)=0,0,HLOOKUP("GIB",A1:CV300,103,FALSE)/HLOOKUP("Gs",A1:CV300,103,FALSE))</f>
      </c>
      <c r="AQ103" t="n" s="23211">
        <v>0.0</v>
      </c>
      <c r="AR103" s="23212">
        <f>IF(HLOOKUP("Gs",A1:CV300,103,FALSE)=0,0,HLOOKUP("Gs - Open",A1:CV300,103,FALSE)/HLOOKUP("Gs",A1:CV300,103,FALSE))</f>
      </c>
      <c r="AS103" t="n" s="23213">
        <v>0.0</v>
      </c>
      <c r="AT103" t="n" s="23214">
        <v>0.24</v>
      </c>
      <c r="AU103" s="23215">
        <f>IF(HLOOKUP("Mins",A1:CV300,103,FALSE)=0,0,HLOOKUP("Pts",A1:CV300,103,FALSE)/HLOOKUP("Mins",A1:CV300,103,FALSE)* 90)</f>
      </c>
      <c r="AV103" s="23216">
        <f>IF(HLOOKUP("Apps",A1:CV300,103,FALSE)=0,0,HLOOKUP("Pts",A1:CV300,103,FALSE)/HLOOKUP("Apps",A1:CV300,103,FALSE)* 1)</f>
      </c>
      <c r="AW103" s="23217">
        <f>IF(HLOOKUP("Mins",A1:CV300,103,FALSE)=0,0,HLOOKUP("Gs",A1:CV300,103,FALSE)/HLOOKUP("Mins",A1:CV300,103,FALSE)* 90)</f>
      </c>
      <c r="AX103" s="23218">
        <f>IF(HLOOKUP("Mins",A1:CV300,103,FALSE)=0,0,HLOOKUP("Bonus",A1:CV300,103,FALSE)/HLOOKUP("Mins",A1:CV300,103,FALSE)* 90)</f>
      </c>
      <c r="AY103" s="23219">
        <f>IF(HLOOKUP("Mins",A1:CV300,103,FALSE)=0,0,HLOOKUP("BPS",A1:CV300,103,FALSE)/HLOOKUP("Mins",A1:CV300,103,FALSE)* 90)</f>
      </c>
      <c r="AZ103" s="23220">
        <f>IF(HLOOKUP("Mins",A1:CV300,103,FALSE)=0,0,HLOOKUP("Base BPS",A1:CV300,103,FALSE)/HLOOKUP("Mins",A1:CV300,103,FALSE)* 90)</f>
      </c>
      <c r="BA103" s="23221">
        <f>IF(HLOOKUP("Mins",A1:CV300,103,FALSE)=0,0,HLOOKUP("PenTchs",A1:CV300,103,FALSE)/HLOOKUP("Mins",A1:CV300,103,FALSE)* 90)</f>
      </c>
      <c r="BB103" s="23222">
        <f>IF(HLOOKUP("Mins",A1:CV300,103,FALSE)=0,0,HLOOKUP("Shots",A1:CV300,103,FALSE)/HLOOKUP("Mins",A1:CV300,103,FALSE)* 90)</f>
      </c>
      <c r="BC103" s="23223">
        <f>IF(HLOOKUP("Mins",A1:CV300,103,FALSE)=0,0,HLOOKUP("SIB",A1:CV300,103,FALSE)/HLOOKUP("Mins",A1:CV300,103,FALSE)* 90)</f>
      </c>
      <c r="BD103" s="23224">
        <f>IF(HLOOKUP("Mins",A1:CV300,103,FALSE)=0,0,HLOOKUP("S6YD",A1:CV300,103,FALSE)/HLOOKUP("Mins",A1:CV300,103,FALSE)* 90)</f>
      </c>
      <c r="BE103" s="23225">
        <f>IF(HLOOKUP("Mins",A1:CV300,103,FALSE)=0,0,HLOOKUP("Headers",A1:CV300,103,FALSE)/HLOOKUP("Mins",A1:CV300,103,FALSE)* 90)</f>
      </c>
      <c r="BF103" s="23226">
        <f>IF(HLOOKUP("Mins",A1:CV300,103,FALSE)=0,0,HLOOKUP("SOT",A1:CV300,103,FALSE)/HLOOKUP("Mins",A1:CV300,103,FALSE)* 90)</f>
      </c>
      <c r="BG103" s="23227">
        <f>IF(HLOOKUP("Mins",A1:CV300,103,FALSE)=0,0,HLOOKUP("As",A1:CV300,103,FALSE)/HLOOKUP("Mins",A1:CV300,103,FALSE)* 90)</f>
      </c>
      <c r="BH103" s="23228">
        <f>IF(HLOOKUP("Mins",A1:CV300,103,FALSE)=0,0,HLOOKUP("FPL As",A1:CV300,103,FALSE)/HLOOKUP("Mins",A1:CV300,103,FALSE)* 90)</f>
      </c>
      <c r="BI103" s="23229">
        <f>IF(HLOOKUP("Mins",A1:CV300,103,FALSE)=0,0,HLOOKUP("BC Created",A1:CV300,103,FALSE)/HLOOKUP("Mins",A1:CV300,103,FALSE)* 90)</f>
      </c>
      <c r="BJ103" s="23230">
        <f>IF(HLOOKUP("Mins",A1:CV300,103,FALSE)=0,0,HLOOKUP("KP",A1:CV300,103,FALSE)/HLOOKUP("Mins",A1:CV300,103,FALSE)* 90)</f>
      </c>
      <c r="BK103" s="23231">
        <f>IF(HLOOKUP("Mins",A1:CV300,103,FALSE)=0,0,HLOOKUP("BC",A1:CV300,103,FALSE)/HLOOKUP("Mins",A1:CV300,103,FALSE)* 90)</f>
      </c>
      <c r="BL103" s="23232">
        <f>IF(HLOOKUP("Mins",A1:CV300,103,FALSE)=0,0,HLOOKUP("BC Miss",A1:CV300,103,FALSE)/HLOOKUP("Mins",A1:CV300,103,FALSE)* 90)</f>
      </c>
      <c r="BM103" s="23233">
        <f>IF(HLOOKUP("Mins",A1:CV300,103,FALSE)=0,0,HLOOKUP("Gs - BC",A1:CV300,103,FALSE)/HLOOKUP("Mins",A1:CV300,103,FALSE)* 90)</f>
      </c>
      <c r="BN103" s="23234">
        <f>IF(HLOOKUP("Mins",A1:CV300,103,FALSE)=0,0,HLOOKUP("GIB",A1:CV300,103,FALSE)/HLOOKUP("Mins",A1:CV300,103,FALSE)* 90)</f>
      </c>
      <c r="BO103" s="23235">
        <f>IF(HLOOKUP("Mins",A1:CV300,103,FALSE)=0,0,HLOOKUP("Gs - Open",A1:CV300,103,FALSE)/HLOOKUP("Mins",A1:CV300,103,FALSE)* 90)</f>
      </c>
      <c r="BP103" s="23236">
        <f>IF(HLOOKUP("Mins",A1:CV300,103,FALSE)=0,0,HLOOKUP("ICT Index",A1:CV300,103,FALSE)/HLOOKUP("Mins",A1:CV300,103,FALSE)* 90)</f>
      </c>
      <c r="BQ103" s="23237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3238">
        <f>0.0885*HLOOKUP("KP/90",A1:CV300,103,FALSE)</f>
      </c>
      <c r="BS103" s="23239">
        <f>5*HLOOKUP("xG/90",A1:CV300,103,FALSE)+3*HLOOKUP("xA/90",A1:CV300,103,FALSE)</f>
      </c>
      <c r="BT103" s="23240">
        <f>HLOOKUP("xPts/90",A1:CV300,103,FALSE)-(5*0.75*(HLOOKUP("PK Gs",A1:CV300,103,FALSE)+HLOOKUP("PK Miss",A1:CV300,103,FALSE))*90/HLOOKUP("Mins",A1:CV300,103,FALSE))</f>
      </c>
      <c r="BU103" s="23241">
        <f>IF(HLOOKUP("Mins",A1:CV300,103,FALSE)=0,0,HLOOKUP("fsXG",A1:CV300,103,FALSE)/HLOOKUP("Mins",A1:CV300,103,FALSE)* 90)</f>
      </c>
      <c r="BV103" s="23242">
        <f>IF(HLOOKUP("Mins",A1:CV300,103,FALSE)=0,0,HLOOKUP("fsXA",A1:CV300,103,FALSE)/HLOOKUP("Mins",A1:CV300,103,FALSE)* 90)</f>
      </c>
      <c r="BW103" s="23243">
        <f>5*HLOOKUP("fsXG/90",A1:CV300,103,FALSE)+3*HLOOKUP("fsXA/90",A1:CV300,103,FALSE)</f>
      </c>
      <c r="BX103" t="n" s="23244">
        <v>0.0</v>
      </c>
      <c r="BY103" t="n" s="23245">
        <v>0.0</v>
      </c>
      <c r="BZ103" s="23246">
        <f>5*HLOOKUP("uXG/90",A1:CV300,103,FALSE)+3*HLOOKUP("uXA/90",A1:CV300,103,FALSE)</f>
      </c>
    </row>
    <row r="104">
      <c r="A104" t="s" s="23247">
        <v>395</v>
      </c>
      <c r="B104" t="s" s="23248">
        <v>90</v>
      </c>
      <c r="C104" t="n" s="23249">
        <v>4.900000095367432</v>
      </c>
      <c r="D104" t="n" s="23250">
        <v>433.0</v>
      </c>
      <c r="E104" t="n" s="23251">
        <v>6.0</v>
      </c>
      <c r="F104" t="n" s="23252">
        <v>86.0</v>
      </c>
      <c r="G104" t="n" s="23253">
        <v>2.0</v>
      </c>
      <c r="H104" t="n" s="23254">
        <v>10.0</v>
      </c>
      <c r="I104" t="n" s="23255">
        <v>299.0</v>
      </c>
      <c r="J104" s="23256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3257">
        <v>0.0</v>
      </c>
      <c r="L104" t="n" s="23258">
        <v>3.0</v>
      </c>
      <c r="M104" t="n" s="23259">
        <v>13.0</v>
      </c>
      <c r="N104" t="n" s="23260">
        <v>9.0</v>
      </c>
      <c r="O104" t="n" s="23261">
        <v>8.0</v>
      </c>
      <c r="P104" s="23262">
        <f>IF(HLOOKUP("Shots",A1:CV300,104,FALSE)=0,0,HLOOKUP("SIB",A1:CV300,104,FALSE)/HLOOKUP("Shots",A1:CV300,104,FALSE))</f>
      </c>
      <c r="Q104" t="n" s="23263">
        <v>0.0</v>
      </c>
      <c r="R104" s="23264">
        <f>IF(HLOOKUP("Shots",A1:CV300,104,FALSE)=0,0,HLOOKUP("S6YD",A1:CV300,104,FALSE)/HLOOKUP("Shots",A1:CV300,104,FALSE))</f>
      </c>
      <c r="S104" t="n" s="23265">
        <v>0.0</v>
      </c>
      <c r="T104" s="23266">
        <f>IF(HLOOKUP("Shots",A1:CV300,104,FALSE)=0,0,HLOOKUP("Headers",A1:CV300,104,FALSE)/HLOOKUP("Shots",A1:CV300,104,FALSE))</f>
      </c>
      <c r="U104" t="n" s="23267">
        <v>6.0</v>
      </c>
      <c r="V104" s="23268">
        <f>IF(HLOOKUP("Shots",A1:CV300,104,FALSE)=0,0,HLOOKUP("SOT",A1:CV300,104,FALSE)/HLOOKUP("Shots",A1:CV300,104,FALSE))</f>
      </c>
      <c r="W104" s="23269">
        <f>IF(HLOOKUP("Shots",A1:CV300,104,FALSE)=0,0,HLOOKUP("Gs",A1:CV300,104,FALSE)/HLOOKUP("Shots",A1:CV300,104,FALSE))</f>
      </c>
      <c r="X104" t="n" s="23270">
        <v>0.0</v>
      </c>
      <c r="Y104" t="n" s="23271">
        <v>2.0</v>
      </c>
      <c r="Z104" t="n" s="23272">
        <v>1.0</v>
      </c>
      <c r="AA104" s="23273">
        <f>IF(HLOOKUP("KP",A1:CV300,104,FALSE)=0,0,HLOOKUP("As",A1:CV300,104,FALSE)/HLOOKUP("KP",A1:CV300,104,FALSE))</f>
      </c>
      <c r="AB104" s="23274"/>
      <c r="AC104" t="n" s="23275">
        <v>67.0</v>
      </c>
      <c r="AD104" t="n" s="23276">
        <v>0.0</v>
      </c>
      <c r="AE104" t="n" s="23277">
        <v>1.0</v>
      </c>
      <c r="AF104" t="n" s="23278">
        <v>0.0</v>
      </c>
      <c r="AG104" s="23279">
        <f>IF(HLOOKUP("BC",A1:CV300,104,FALSE)=0,0,HLOOKUP("Gs - BC",A1:CV300,104,FALSE)/HLOOKUP("BC",A1:CV300,104,FALSE))</f>
      </c>
      <c r="AH104" s="23280">
        <f>HLOOKUP("BC",A1:CV300,104,FALSE) - HLOOKUP("BC Miss",A1:CV300,104,FALSE)</f>
      </c>
      <c r="AI104" s="23281">
        <f>IF(HLOOKUP("Gs",A1:CV300,104,FALSE)=0,0,HLOOKUP("Gs - BC",A1:CV300,104,FALSE)/HLOOKUP("Gs",A1:CV300,104,FALSE))</f>
      </c>
      <c r="AJ104" t="n" s="23282">
        <v>0.0</v>
      </c>
      <c r="AK104" t="n" s="23283">
        <v>0.0</v>
      </c>
      <c r="AL104" s="23284">
        <f>HLOOKUP("BC",A1:CV300,104,FALSE) - (HLOOKUP("PK Gs",A1:CV300,104,FALSE) + HLOOKUP("PK Miss",A1:CV300,104,FALSE))</f>
      </c>
      <c r="AM104" s="23285">
        <f>HLOOKUP("BC Miss",A1:CV300,104,FALSE) - HLOOKUP("PK Miss",A1:CV300,104,FALSE)</f>
      </c>
      <c r="AN104" s="23286">
        <f>IF(HLOOKUP("BC - Open",A1:CV300,104,FALSE)=0,0,HLOOKUP("BC - Open Miss",A1:CV300,104,FALSE)/HLOOKUP("BC - Open",A1:CV300,104,FALSE))</f>
      </c>
      <c r="AO104" t="n" s="23287">
        <v>2.0</v>
      </c>
      <c r="AP104" s="23288">
        <f>IF(HLOOKUP("Gs",A1:CV300,104,FALSE)=0,0,HLOOKUP("GIB",A1:CV300,104,FALSE)/HLOOKUP("Gs",A1:CV300,104,FALSE))</f>
      </c>
      <c r="AQ104" t="n" s="23289">
        <v>2.0</v>
      </c>
      <c r="AR104" s="23290">
        <f>IF(HLOOKUP("Gs",A1:CV300,104,FALSE)=0,0,HLOOKUP("Gs - Open",A1:CV300,104,FALSE)/HLOOKUP("Gs",A1:CV300,104,FALSE))</f>
      </c>
      <c r="AS104" t="n" s="23291">
        <v>0.95</v>
      </c>
      <c r="AT104" t="n" s="23292">
        <v>0.15</v>
      </c>
      <c r="AU104" s="23293">
        <f>IF(HLOOKUP("Mins",A1:CV300,104,FALSE)=0,0,HLOOKUP("Pts",A1:CV300,104,FALSE)/HLOOKUP("Mins",A1:CV300,104,FALSE)* 90)</f>
      </c>
      <c r="AV104" s="23294">
        <f>IF(HLOOKUP("Apps",A1:CV300,104,FALSE)=0,0,HLOOKUP("Pts",A1:CV300,104,FALSE)/HLOOKUP("Apps",A1:CV300,104,FALSE)* 1)</f>
      </c>
      <c r="AW104" s="23295">
        <f>IF(HLOOKUP("Mins",A1:CV300,104,FALSE)=0,0,HLOOKUP("Gs",A1:CV300,104,FALSE)/HLOOKUP("Mins",A1:CV300,104,FALSE)* 90)</f>
      </c>
      <c r="AX104" s="23296">
        <f>IF(HLOOKUP("Mins",A1:CV300,104,FALSE)=0,0,HLOOKUP("Bonus",A1:CV300,104,FALSE)/HLOOKUP("Mins",A1:CV300,104,FALSE)* 90)</f>
      </c>
      <c r="AY104" s="23297">
        <f>IF(HLOOKUP("Mins",A1:CV300,104,FALSE)=0,0,HLOOKUP("BPS",A1:CV300,104,FALSE)/HLOOKUP("Mins",A1:CV300,104,FALSE)* 90)</f>
      </c>
      <c r="AZ104" s="23298">
        <f>IF(HLOOKUP("Mins",A1:CV300,104,FALSE)=0,0,HLOOKUP("Base BPS",A1:CV300,104,FALSE)/HLOOKUP("Mins",A1:CV300,104,FALSE)* 90)</f>
      </c>
      <c r="BA104" s="23299">
        <f>IF(HLOOKUP("Mins",A1:CV300,104,FALSE)=0,0,HLOOKUP("PenTchs",A1:CV300,104,FALSE)/HLOOKUP("Mins",A1:CV300,104,FALSE)* 90)</f>
      </c>
      <c r="BB104" s="23300">
        <f>IF(HLOOKUP("Mins",A1:CV300,104,FALSE)=0,0,HLOOKUP("Shots",A1:CV300,104,FALSE)/HLOOKUP("Mins",A1:CV300,104,FALSE)* 90)</f>
      </c>
      <c r="BC104" s="23301">
        <f>IF(HLOOKUP("Mins",A1:CV300,104,FALSE)=0,0,HLOOKUP("SIB",A1:CV300,104,FALSE)/HLOOKUP("Mins",A1:CV300,104,FALSE)* 90)</f>
      </c>
      <c r="BD104" s="23302">
        <f>IF(HLOOKUP("Mins",A1:CV300,104,FALSE)=0,0,HLOOKUP("S6YD",A1:CV300,104,FALSE)/HLOOKUP("Mins",A1:CV300,104,FALSE)* 90)</f>
      </c>
      <c r="BE104" s="23303">
        <f>IF(HLOOKUP("Mins",A1:CV300,104,FALSE)=0,0,HLOOKUP("Headers",A1:CV300,104,FALSE)/HLOOKUP("Mins",A1:CV300,104,FALSE)* 90)</f>
      </c>
      <c r="BF104" s="23304">
        <f>IF(HLOOKUP("Mins",A1:CV300,104,FALSE)=0,0,HLOOKUP("SOT",A1:CV300,104,FALSE)/HLOOKUP("Mins",A1:CV300,104,FALSE)* 90)</f>
      </c>
      <c r="BG104" s="23305">
        <f>IF(HLOOKUP("Mins",A1:CV300,104,FALSE)=0,0,HLOOKUP("As",A1:CV300,104,FALSE)/HLOOKUP("Mins",A1:CV300,104,FALSE)* 90)</f>
      </c>
      <c r="BH104" s="23306">
        <f>IF(HLOOKUP("Mins",A1:CV300,104,FALSE)=0,0,HLOOKUP("FPL As",A1:CV300,104,FALSE)/HLOOKUP("Mins",A1:CV300,104,FALSE)* 90)</f>
      </c>
      <c r="BI104" s="23307">
        <f>IF(HLOOKUP("Mins",A1:CV300,104,FALSE)=0,0,HLOOKUP("BC Created",A1:CV300,104,FALSE)/HLOOKUP("Mins",A1:CV300,104,FALSE)* 90)</f>
      </c>
      <c r="BJ104" s="23308">
        <f>IF(HLOOKUP("Mins",A1:CV300,104,FALSE)=0,0,HLOOKUP("KP",A1:CV300,104,FALSE)/HLOOKUP("Mins",A1:CV300,104,FALSE)* 90)</f>
      </c>
      <c r="BK104" s="23309">
        <f>IF(HLOOKUP("Mins",A1:CV300,104,FALSE)=0,0,HLOOKUP("BC",A1:CV300,104,FALSE)/HLOOKUP("Mins",A1:CV300,104,FALSE)* 90)</f>
      </c>
      <c r="BL104" s="23310">
        <f>IF(HLOOKUP("Mins",A1:CV300,104,FALSE)=0,0,HLOOKUP("BC Miss",A1:CV300,104,FALSE)/HLOOKUP("Mins",A1:CV300,104,FALSE)* 90)</f>
      </c>
      <c r="BM104" s="23311">
        <f>IF(HLOOKUP("Mins",A1:CV300,104,FALSE)=0,0,HLOOKUP("Gs - BC",A1:CV300,104,FALSE)/HLOOKUP("Mins",A1:CV300,104,FALSE)* 90)</f>
      </c>
      <c r="BN104" s="23312">
        <f>IF(HLOOKUP("Mins",A1:CV300,104,FALSE)=0,0,HLOOKUP("GIB",A1:CV300,104,FALSE)/HLOOKUP("Mins",A1:CV300,104,FALSE)* 90)</f>
      </c>
      <c r="BO104" s="23313">
        <f>IF(HLOOKUP("Mins",A1:CV300,104,FALSE)=0,0,HLOOKUP("Gs - Open",A1:CV300,104,FALSE)/HLOOKUP("Mins",A1:CV300,104,FALSE)* 90)</f>
      </c>
      <c r="BP104" s="23314">
        <f>IF(HLOOKUP("Mins",A1:CV300,104,FALSE)=0,0,HLOOKUP("ICT Index",A1:CV300,104,FALSE)/HLOOKUP("Mins",A1:CV300,104,FALSE)* 90)</f>
      </c>
      <c r="BQ104" s="23315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3316">
        <f>0.0885*HLOOKUP("KP/90",A1:CV300,104,FALSE)</f>
      </c>
      <c r="BS104" s="23317">
        <f>5*HLOOKUP("xG/90",A1:CV300,104,FALSE)+3*HLOOKUP("xA/90",A1:CV300,104,FALSE)</f>
      </c>
      <c r="BT104" s="23318">
        <f>HLOOKUP("xPts/90",A1:CV300,104,FALSE)-(5*0.75*(HLOOKUP("PK Gs",A1:CV300,104,FALSE)+HLOOKUP("PK Miss",A1:CV300,104,FALSE))*90/HLOOKUP("Mins",A1:CV300,104,FALSE))</f>
      </c>
      <c r="BU104" s="23319">
        <f>IF(HLOOKUP("Mins",A1:CV300,104,FALSE)=0,0,HLOOKUP("fsXG",A1:CV300,104,FALSE)/HLOOKUP("Mins",A1:CV300,104,FALSE)* 90)</f>
      </c>
      <c r="BV104" s="23320">
        <f>IF(HLOOKUP("Mins",A1:CV300,104,FALSE)=0,0,HLOOKUP("fsXA",A1:CV300,104,FALSE)/HLOOKUP("Mins",A1:CV300,104,FALSE)* 90)</f>
      </c>
      <c r="BW104" s="23321">
        <f>5*HLOOKUP("fsXG/90",A1:CV300,104,FALSE)+3*HLOOKUP("fsXA/90",A1:CV300,104,FALSE)</f>
      </c>
      <c r="BX104" t="n" s="23322">
        <v>0.19472172856330872</v>
      </c>
      <c r="BY104" t="n" s="23323">
        <v>0.013911604881286621</v>
      </c>
      <c r="BZ104" s="23324">
        <f>5*HLOOKUP("uXG/90",A1:CV300,104,FALSE)+3*HLOOKUP("uXA/90",A1:CV300,104,FALSE)</f>
      </c>
    </row>
    <row r="105">
      <c r="A105" t="s" s="23325">
        <v>396</v>
      </c>
      <c r="B105" t="s" s="23326">
        <v>109</v>
      </c>
      <c r="C105" t="n" s="23327">
        <v>6.400000095367432</v>
      </c>
      <c r="D105" t="n" s="23328">
        <v>252.0</v>
      </c>
      <c r="E105" t="n" s="23329">
        <v>4.0</v>
      </c>
      <c r="F105" t="n" s="23330">
        <v>58.0</v>
      </c>
      <c r="G105" t="n" s="23331">
        <v>0.0</v>
      </c>
      <c r="H105" t="n" s="23332">
        <v>5.0</v>
      </c>
      <c r="I105" t="n" s="23333">
        <v>252.0</v>
      </c>
      <c r="J105" s="23334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3335">
        <v>0.0</v>
      </c>
      <c r="L105" t="n" s="23336">
        <v>3.0</v>
      </c>
      <c r="M105" t="n" s="23337">
        <v>4.0</v>
      </c>
      <c r="N105" t="n" s="23338">
        <v>4.0</v>
      </c>
      <c r="O105" t="n" s="23339">
        <v>0.0</v>
      </c>
      <c r="P105" s="23340">
        <f>IF(HLOOKUP("Shots",A1:CV300,105,FALSE)=0,0,HLOOKUP("SIB",A1:CV300,105,FALSE)/HLOOKUP("Shots",A1:CV300,105,FALSE))</f>
      </c>
      <c r="Q105" t="n" s="23341">
        <v>0.0</v>
      </c>
      <c r="R105" s="23342">
        <f>IF(HLOOKUP("Shots",A1:CV300,105,FALSE)=0,0,HLOOKUP("S6YD",A1:CV300,105,FALSE)/HLOOKUP("Shots",A1:CV300,105,FALSE))</f>
      </c>
      <c r="S105" t="n" s="23343">
        <v>0.0</v>
      </c>
      <c r="T105" s="23344">
        <f>IF(HLOOKUP("Shots",A1:CV300,105,FALSE)=0,0,HLOOKUP("Headers",A1:CV300,105,FALSE)/HLOOKUP("Shots",A1:CV300,105,FALSE))</f>
      </c>
      <c r="U105" t="n" s="23345">
        <v>3.0</v>
      </c>
      <c r="V105" s="23346">
        <f>IF(HLOOKUP("Shots",A1:CV300,105,FALSE)=0,0,HLOOKUP("SOT",A1:CV300,105,FALSE)/HLOOKUP("Shots",A1:CV300,105,FALSE))</f>
      </c>
      <c r="W105" s="23347">
        <f>IF(HLOOKUP("Shots",A1:CV300,105,FALSE)=0,0,HLOOKUP("Gs",A1:CV300,105,FALSE)/HLOOKUP("Shots",A1:CV300,105,FALSE))</f>
      </c>
      <c r="X105" t="n" s="23348">
        <v>2.0</v>
      </c>
      <c r="Y105" t="n" s="23349">
        <v>5.0</v>
      </c>
      <c r="Z105" t="n" s="23350">
        <v>8.0</v>
      </c>
      <c r="AA105" s="23351">
        <f>IF(HLOOKUP("KP",A1:CV300,105,FALSE)=0,0,HLOOKUP("As",A1:CV300,105,FALSE)/HLOOKUP("KP",A1:CV300,105,FALSE))</f>
      </c>
      <c r="AB105" s="23352"/>
      <c r="AC105" t="n" s="23353">
        <v>100.0</v>
      </c>
      <c r="AD105" t="n" s="23354">
        <v>3.0</v>
      </c>
      <c r="AE105" t="n" s="23355">
        <v>0.0</v>
      </c>
      <c r="AF105" t="n" s="23356">
        <v>0.0</v>
      </c>
      <c r="AG105" s="23357">
        <f>IF(HLOOKUP("BC",A1:CV300,105,FALSE)=0,0,HLOOKUP("Gs - BC",A1:CV300,105,FALSE)/HLOOKUP("BC",A1:CV300,105,FALSE))</f>
      </c>
      <c r="AH105" s="23358">
        <f>HLOOKUP("BC",A1:CV300,105,FALSE) - HLOOKUP("BC Miss",A1:CV300,105,FALSE)</f>
      </c>
      <c r="AI105" s="23359">
        <f>IF(HLOOKUP("Gs",A1:CV300,105,FALSE)=0,0,HLOOKUP("Gs - BC",A1:CV300,105,FALSE)/HLOOKUP("Gs",A1:CV300,105,FALSE))</f>
      </c>
      <c r="AJ105" t="n" s="23360">
        <v>0.0</v>
      </c>
      <c r="AK105" t="n" s="23361">
        <v>0.0</v>
      </c>
      <c r="AL105" s="23362">
        <f>HLOOKUP("BC",A1:CV300,105,FALSE) - (HLOOKUP("PK Gs",A1:CV300,105,FALSE) + HLOOKUP("PK Miss",A1:CV300,105,FALSE))</f>
      </c>
      <c r="AM105" s="23363">
        <f>HLOOKUP("BC Miss",A1:CV300,105,FALSE) - HLOOKUP("PK Miss",A1:CV300,105,FALSE)</f>
      </c>
      <c r="AN105" s="23364">
        <f>IF(HLOOKUP("BC - Open",A1:CV300,105,FALSE)=0,0,HLOOKUP("BC - Open Miss",A1:CV300,105,FALSE)/HLOOKUP("BC - Open",A1:CV300,105,FALSE))</f>
      </c>
      <c r="AO105" t="n" s="23365">
        <v>0.0</v>
      </c>
      <c r="AP105" s="23366">
        <f>IF(HLOOKUP("Gs",A1:CV300,105,FALSE)=0,0,HLOOKUP("GIB",A1:CV300,105,FALSE)/HLOOKUP("Gs",A1:CV300,105,FALSE))</f>
      </c>
      <c r="AQ105" t="n" s="23367">
        <v>0.0</v>
      </c>
      <c r="AR105" s="23368">
        <f>IF(HLOOKUP("Gs",A1:CV300,105,FALSE)=0,0,HLOOKUP("Gs - Open",A1:CV300,105,FALSE)/HLOOKUP("Gs",A1:CV300,105,FALSE))</f>
      </c>
      <c r="AS105" t="n" s="23369">
        <v>0.19</v>
      </c>
      <c r="AT105" t="n" s="23370">
        <v>0.66</v>
      </c>
      <c r="AU105" s="23371">
        <f>IF(HLOOKUP("Mins",A1:CV300,105,FALSE)=0,0,HLOOKUP("Pts",A1:CV300,105,FALSE)/HLOOKUP("Mins",A1:CV300,105,FALSE)* 90)</f>
      </c>
      <c r="AV105" s="23372">
        <f>IF(HLOOKUP("Apps",A1:CV300,105,FALSE)=0,0,HLOOKUP("Pts",A1:CV300,105,FALSE)/HLOOKUP("Apps",A1:CV300,105,FALSE)* 1)</f>
      </c>
      <c r="AW105" s="23373">
        <f>IF(HLOOKUP("Mins",A1:CV300,105,FALSE)=0,0,HLOOKUP("Gs",A1:CV300,105,FALSE)/HLOOKUP("Mins",A1:CV300,105,FALSE)* 90)</f>
      </c>
      <c r="AX105" s="23374">
        <f>IF(HLOOKUP("Mins",A1:CV300,105,FALSE)=0,0,HLOOKUP("Bonus",A1:CV300,105,FALSE)/HLOOKUP("Mins",A1:CV300,105,FALSE)* 90)</f>
      </c>
      <c r="AY105" s="23375">
        <f>IF(HLOOKUP("Mins",A1:CV300,105,FALSE)=0,0,HLOOKUP("BPS",A1:CV300,105,FALSE)/HLOOKUP("Mins",A1:CV300,105,FALSE)* 90)</f>
      </c>
      <c r="AZ105" s="23376">
        <f>IF(HLOOKUP("Mins",A1:CV300,105,FALSE)=0,0,HLOOKUP("Base BPS",A1:CV300,105,FALSE)/HLOOKUP("Mins",A1:CV300,105,FALSE)* 90)</f>
      </c>
      <c r="BA105" s="23377">
        <f>IF(HLOOKUP("Mins",A1:CV300,105,FALSE)=0,0,HLOOKUP("PenTchs",A1:CV300,105,FALSE)/HLOOKUP("Mins",A1:CV300,105,FALSE)* 90)</f>
      </c>
      <c r="BB105" s="23378">
        <f>IF(HLOOKUP("Mins",A1:CV300,105,FALSE)=0,0,HLOOKUP("Shots",A1:CV300,105,FALSE)/HLOOKUP("Mins",A1:CV300,105,FALSE)* 90)</f>
      </c>
      <c r="BC105" s="23379">
        <f>IF(HLOOKUP("Mins",A1:CV300,105,FALSE)=0,0,HLOOKUP("SIB",A1:CV300,105,FALSE)/HLOOKUP("Mins",A1:CV300,105,FALSE)* 90)</f>
      </c>
      <c r="BD105" s="23380">
        <f>IF(HLOOKUP("Mins",A1:CV300,105,FALSE)=0,0,HLOOKUP("S6YD",A1:CV300,105,FALSE)/HLOOKUP("Mins",A1:CV300,105,FALSE)* 90)</f>
      </c>
      <c r="BE105" s="23381">
        <f>IF(HLOOKUP("Mins",A1:CV300,105,FALSE)=0,0,HLOOKUP("Headers",A1:CV300,105,FALSE)/HLOOKUP("Mins",A1:CV300,105,FALSE)* 90)</f>
      </c>
      <c r="BF105" s="23382">
        <f>IF(HLOOKUP("Mins",A1:CV300,105,FALSE)=0,0,HLOOKUP("SOT",A1:CV300,105,FALSE)/HLOOKUP("Mins",A1:CV300,105,FALSE)* 90)</f>
      </c>
      <c r="BG105" s="23383">
        <f>IF(HLOOKUP("Mins",A1:CV300,105,FALSE)=0,0,HLOOKUP("As",A1:CV300,105,FALSE)/HLOOKUP("Mins",A1:CV300,105,FALSE)* 90)</f>
      </c>
      <c r="BH105" s="23384">
        <f>IF(HLOOKUP("Mins",A1:CV300,105,FALSE)=0,0,HLOOKUP("FPL As",A1:CV300,105,FALSE)/HLOOKUP("Mins",A1:CV300,105,FALSE)* 90)</f>
      </c>
      <c r="BI105" s="23385">
        <f>IF(HLOOKUP("Mins",A1:CV300,105,FALSE)=0,0,HLOOKUP("BC Created",A1:CV300,105,FALSE)/HLOOKUP("Mins",A1:CV300,105,FALSE)* 90)</f>
      </c>
      <c r="BJ105" s="23386">
        <f>IF(HLOOKUP("Mins",A1:CV300,105,FALSE)=0,0,HLOOKUP("KP",A1:CV300,105,FALSE)/HLOOKUP("Mins",A1:CV300,105,FALSE)* 90)</f>
      </c>
      <c r="BK105" s="23387">
        <f>IF(HLOOKUP("Mins",A1:CV300,105,FALSE)=0,0,HLOOKUP("BC",A1:CV300,105,FALSE)/HLOOKUP("Mins",A1:CV300,105,FALSE)* 90)</f>
      </c>
      <c r="BL105" s="23388">
        <f>IF(HLOOKUP("Mins",A1:CV300,105,FALSE)=0,0,HLOOKUP("BC Miss",A1:CV300,105,FALSE)/HLOOKUP("Mins",A1:CV300,105,FALSE)* 90)</f>
      </c>
      <c r="BM105" s="23389">
        <f>IF(HLOOKUP("Mins",A1:CV300,105,FALSE)=0,0,HLOOKUP("Gs - BC",A1:CV300,105,FALSE)/HLOOKUP("Mins",A1:CV300,105,FALSE)* 90)</f>
      </c>
      <c r="BN105" s="23390">
        <f>IF(HLOOKUP("Mins",A1:CV300,105,FALSE)=0,0,HLOOKUP("GIB",A1:CV300,105,FALSE)/HLOOKUP("Mins",A1:CV300,105,FALSE)* 90)</f>
      </c>
      <c r="BO105" s="23391">
        <f>IF(HLOOKUP("Mins",A1:CV300,105,FALSE)=0,0,HLOOKUP("Gs - Open",A1:CV300,105,FALSE)/HLOOKUP("Mins",A1:CV300,105,FALSE)* 90)</f>
      </c>
      <c r="BP105" s="23392">
        <f>IF(HLOOKUP("Mins",A1:CV300,105,FALSE)=0,0,HLOOKUP("ICT Index",A1:CV300,105,FALSE)/HLOOKUP("Mins",A1:CV300,105,FALSE)* 90)</f>
      </c>
      <c r="BQ105" s="23393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3394">
        <f>0.0885*HLOOKUP("KP/90",A1:CV300,105,FALSE)</f>
      </c>
      <c r="BS105" s="23395">
        <f>5*HLOOKUP("xG/90",A1:CV300,105,FALSE)+3*HLOOKUP("xA/90",A1:CV300,105,FALSE)</f>
      </c>
      <c r="BT105" s="23396">
        <f>HLOOKUP("xPts/90",A1:CV300,105,FALSE)-(5*0.75*(HLOOKUP("PK Gs",A1:CV300,105,FALSE)+HLOOKUP("PK Miss",A1:CV300,105,FALSE))*90/HLOOKUP("Mins",A1:CV300,105,FALSE))</f>
      </c>
      <c r="BU105" s="23397">
        <f>IF(HLOOKUP("Mins",A1:CV300,105,FALSE)=0,0,HLOOKUP("fsXG",A1:CV300,105,FALSE)/HLOOKUP("Mins",A1:CV300,105,FALSE)* 90)</f>
      </c>
      <c r="BV105" s="23398">
        <f>IF(HLOOKUP("Mins",A1:CV300,105,FALSE)=0,0,HLOOKUP("fsXA",A1:CV300,105,FALSE)/HLOOKUP("Mins",A1:CV300,105,FALSE)* 90)</f>
      </c>
      <c r="BW105" s="23399">
        <f>5*HLOOKUP("fsXG/90",A1:CV300,105,FALSE)+3*HLOOKUP("fsXA/90",A1:CV300,105,FALSE)</f>
      </c>
      <c r="BX105" t="n" s="23400">
        <v>0.050962332636117935</v>
      </c>
      <c r="BY105" t="n" s="23401">
        <v>0.44863688945770264</v>
      </c>
      <c r="BZ105" s="23402">
        <f>5*HLOOKUP("uXG/90",A1:CV300,105,FALSE)+3*HLOOKUP("uXA/90",A1:CV300,105,FALSE)</f>
      </c>
    </row>
    <row r="106">
      <c r="A106" t="s" s="23403">
        <v>397</v>
      </c>
      <c r="B106" t="s" s="23404">
        <v>90</v>
      </c>
      <c r="C106" t="n" s="23405">
        <v>4.5</v>
      </c>
      <c r="D106" t="n" s="23406">
        <v>517.0</v>
      </c>
      <c r="E106" t="n" s="23407">
        <v>6.0</v>
      </c>
      <c r="F106" t="n" s="23408">
        <v>38.0</v>
      </c>
      <c r="G106" t="n" s="23409">
        <v>0.0</v>
      </c>
      <c r="H106" t="n" s="23410">
        <v>3.0</v>
      </c>
      <c r="I106" t="n" s="23411">
        <v>213.0</v>
      </c>
      <c r="J106" s="23412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3413">
        <v>0.0</v>
      </c>
      <c r="L106" t="n" s="23414">
        <v>2.0</v>
      </c>
      <c r="M106" t="n" s="23415">
        <v>2.0</v>
      </c>
      <c r="N106" t="n" s="23416">
        <v>8.0</v>
      </c>
      <c r="O106" t="n" s="23417">
        <v>2.0</v>
      </c>
      <c r="P106" s="23418">
        <f>IF(HLOOKUP("Shots",A1:CV300,106,FALSE)=0,0,HLOOKUP("SIB",A1:CV300,106,FALSE)/HLOOKUP("Shots",A1:CV300,106,FALSE))</f>
      </c>
      <c r="Q106" t="n" s="23419">
        <v>0.0</v>
      </c>
      <c r="R106" s="23420">
        <f>IF(HLOOKUP("Shots",A1:CV300,106,FALSE)=0,0,HLOOKUP("S6YD",A1:CV300,106,FALSE)/HLOOKUP("Shots",A1:CV300,106,FALSE))</f>
      </c>
      <c r="S106" t="n" s="23421">
        <v>0.0</v>
      </c>
      <c r="T106" s="23422">
        <f>IF(HLOOKUP("Shots",A1:CV300,106,FALSE)=0,0,HLOOKUP("Headers",A1:CV300,106,FALSE)/HLOOKUP("Shots",A1:CV300,106,FALSE))</f>
      </c>
      <c r="U106" t="n" s="23423">
        <v>1.0</v>
      </c>
      <c r="V106" s="23424">
        <f>IF(HLOOKUP("Shots",A1:CV300,106,FALSE)=0,0,HLOOKUP("SOT",A1:CV300,106,FALSE)/HLOOKUP("Shots",A1:CV300,106,FALSE))</f>
      </c>
      <c r="W106" s="23425">
        <f>IF(HLOOKUP("Shots",A1:CV300,106,FALSE)=0,0,HLOOKUP("Gs",A1:CV300,106,FALSE)/HLOOKUP("Shots",A1:CV300,106,FALSE))</f>
      </c>
      <c r="X106" t="n" s="23426">
        <v>0.0</v>
      </c>
      <c r="Y106" t="n" s="23427">
        <v>1.0</v>
      </c>
      <c r="Z106" t="n" s="23428">
        <v>2.0</v>
      </c>
      <c r="AA106" s="23429">
        <f>IF(HLOOKUP("KP",A1:CV300,106,FALSE)=0,0,HLOOKUP("As",A1:CV300,106,FALSE)/HLOOKUP("KP",A1:CV300,106,FALSE))</f>
      </c>
      <c r="AB106" s="23430"/>
      <c r="AC106" t="n" s="23431">
        <v>0.0</v>
      </c>
      <c r="AD106" t="n" s="23432">
        <v>0.0</v>
      </c>
      <c r="AE106" t="n" s="23433">
        <v>0.0</v>
      </c>
      <c r="AF106" t="n" s="23434">
        <v>0.0</v>
      </c>
      <c r="AG106" s="23435">
        <f>IF(HLOOKUP("BC",A1:CV300,106,FALSE)=0,0,HLOOKUP("Gs - BC",A1:CV300,106,FALSE)/HLOOKUP("BC",A1:CV300,106,FALSE))</f>
      </c>
      <c r="AH106" s="23436">
        <f>HLOOKUP("BC",A1:CV300,106,FALSE) - HLOOKUP("BC Miss",A1:CV300,106,FALSE)</f>
      </c>
      <c r="AI106" s="23437">
        <f>IF(HLOOKUP("Gs",A1:CV300,106,FALSE)=0,0,HLOOKUP("Gs - BC",A1:CV300,106,FALSE)/HLOOKUP("Gs",A1:CV300,106,FALSE))</f>
      </c>
      <c r="AJ106" t="n" s="23438">
        <v>0.0</v>
      </c>
      <c r="AK106" t="n" s="23439">
        <v>0.0</v>
      </c>
      <c r="AL106" s="23440">
        <f>HLOOKUP("BC",A1:CV300,106,FALSE) - (HLOOKUP("PK Gs",A1:CV300,106,FALSE) + HLOOKUP("PK Miss",A1:CV300,106,FALSE))</f>
      </c>
      <c r="AM106" s="23441">
        <f>HLOOKUP("BC Miss",A1:CV300,106,FALSE) - HLOOKUP("PK Miss",A1:CV300,106,FALSE)</f>
      </c>
      <c r="AN106" s="23442">
        <f>IF(HLOOKUP("BC - Open",A1:CV300,106,FALSE)=0,0,HLOOKUP("BC - Open Miss",A1:CV300,106,FALSE)/HLOOKUP("BC - Open",A1:CV300,106,FALSE))</f>
      </c>
      <c r="AO106" t="n" s="23443">
        <v>0.0</v>
      </c>
      <c r="AP106" s="23444">
        <f>IF(HLOOKUP("Gs",A1:CV300,106,FALSE)=0,0,HLOOKUP("GIB",A1:CV300,106,FALSE)/HLOOKUP("Gs",A1:CV300,106,FALSE))</f>
      </c>
      <c r="AQ106" t="n" s="23445">
        <v>0.0</v>
      </c>
      <c r="AR106" s="23446">
        <f>IF(HLOOKUP("Gs",A1:CV300,106,FALSE)=0,0,HLOOKUP("Gs - Open",A1:CV300,106,FALSE)/HLOOKUP("Gs",A1:CV300,106,FALSE))</f>
      </c>
      <c r="AS106" t="n" s="23447">
        <v>0.31</v>
      </c>
      <c r="AT106" t="n" s="23448">
        <v>0.21</v>
      </c>
      <c r="AU106" s="23449">
        <f>IF(HLOOKUP("Mins",A1:CV300,106,FALSE)=0,0,HLOOKUP("Pts",A1:CV300,106,FALSE)/HLOOKUP("Mins",A1:CV300,106,FALSE)* 90)</f>
      </c>
      <c r="AV106" s="23450">
        <f>IF(HLOOKUP("Apps",A1:CV300,106,FALSE)=0,0,HLOOKUP("Pts",A1:CV300,106,FALSE)/HLOOKUP("Apps",A1:CV300,106,FALSE)* 1)</f>
      </c>
      <c r="AW106" s="23451">
        <f>IF(HLOOKUP("Mins",A1:CV300,106,FALSE)=0,0,HLOOKUP("Gs",A1:CV300,106,FALSE)/HLOOKUP("Mins",A1:CV300,106,FALSE)* 90)</f>
      </c>
      <c r="AX106" s="23452">
        <f>IF(HLOOKUP("Mins",A1:CV300,106,FALSE)=0,0,HLOOKUP("Bonus",A1:CV300,106,FALSE)/HLOOKUP("Mins",A1:CV300,106,FALSE)* 90)</f>
      </c>
      <c r="AY106" s="23453">
        <f>IF(HLOOKUP("Mins",A1:CV300,106,FALSE)=0,0,HLOOKUP("BPS",A1:CV300,106,FALSE)/HLOOKUP("Mins",A1:CV300,106,FALSE)* 90)</f>
      </c>
      <c r="AZ106" s="23454">
        <f>IF(HLOOKUP("Mins",A1:CV300,106,FALSE)=0,0,HLOOKUP("Base BPS",A1:CV300,106,FALSE)/HLOOKUP("Mins",A1:CV300,106,FALSE)* 90)</f>
      </c>
      <c r="BA106" s="23455">
        <f>IF(HLOOKUP("Mins",A1:CV300,106,FALSE)=0,0,HLOOKUP("PenTchs",A1:CV300,106,FALSE)/HLOOKUP("Mins",A1:CV300,106,FALSE)* 90)</f>
      </c>
      <c r="BB106" s="23456">
        <f>IF(HLOOKUP("Mins",A1:CV300,106,FALSE)=0,0,HLOOKUP("Shots",A1:CV300,106,FALSE)/HLOOKUP("Mins",A1:CV300,106,FALSE)* 90)</f>
      </c>
      <c r="BC106" s="23457">
        <f>IF(HLOOKUP("Mins",A1:CV300,106,FALSE)=0,0,HLOOKUP("SIB",A1:CV300,106,FALSE)/HLOOKUP("Mins",A1:CV300,106,FALSE)* 90)</f>
      </c>
      <c r="BD106" s="23458">
        <f>IF(HLOOKUP("Mins",A1:CV300,106,FALSE)=0,0,HLOOKUP("S6YD",A1:CV300,106,FALSE)/HLOOKUP("Mins",A1:CV300,106,FALSE)* 90)</f>
      </c>
      <c r="BE106" s="23459">
        <f>IF(HLOOKUP("Mins",A1:CV300,106,FALSE)=0,0,HLOOKUP("Headers",A1:CV300,106,FALSE)/HLOOKUP("Mins",A1:CV300,106,FALSE)* 90)</f>
      </c>
      <c r="BF106" s="23460">
        <f>IF(HLOOKUP("Mins",A1:CV300,106,FALSE)=0,0,HLOOKUP("SOT",A1:CV300,106,FALSE)/HLOOKUP("Mins",A1:CV300,106,FALSE)* 90)</f>
      </c>
      <c r="BG106" s="23461">
        <f>IF(HLOOKUP("Mins",A1:CV300,106,FALSE)=0,0,HLOOKUP("As",A1:CV300,106,FALSE)/HLOOKUP("Mins",A1:CV300,106,FALSE)* 90)</f>
      </c>
      <c r="BH106" s="23462">
        <f>IF(HLOOKUP("Mins",A1:CV300,106,FALSE)=0,0,HLOOKUP("FPL As",A1:CV300,106,FALSE)/HLOOKUP("Mins",A1:CV300,106,FALSE)* 90)</f>
      </c>
      <c r="BI106" s="23463">
        <f>IF(HLOOKUP("Mins",A1:CV300,106,FALSE)=0,0,HLOOKUP("BC Created",A1:CV300,106,FALSE)/HLOOKUP("Mins",A1:CV300,106,FALSE)* 90)</f>
      </c>
      <c r="BJ106" s="23464">
        <f>IF(HLOOKUP("Mins",A1:CV300,106,FALSE)=0,0,HLOOKUP("KP",A1:CV300,106,FALSE)/HLOOKUP("Mins",A1:CV300,106,FALSE)* 90)</f>
      </c>
      <c r="BK106" s="23465">
        <f>IF(HLOOKUP("Mins",A1:CV300,106,FALSE)=0,0,HLOOKUP("BC",A1:CV300,106,FALSE)/HLOOKUP("Mins",A1:CV300,106,FALSE)* 90)</f>
      </c>
      <c r="BL106" s="23466">
        <f>IF(HLOOKUP("Mins",A1:CV300,106,FALSE)=0,0,HLOOKUP("BC Miss",A1:CV300,106,FALSE)/HLOOKUP("Mins",A1:CV300,106,FALSE)* 90)</f>
      </c>
      <c r="BM106" s="23467">
        <f>IF(HLOOKUP("Mins",A1:CV300,106,FALSE)=0,0,HLOOKUP("Gs - BC",A1:CV300,106,FALSE)/HLOOKUP("Mins",A1:CV300,106,FALSE)* 90)</f>
      </c>
      <c r="BN106" s="23468">
        <f>IF(HLOOKUP("Mins",A1:CV300,106,FALSE)=0,0,HLOOKUP("GIB",A1:CV300,106,FALSE)/HLOOKUP("Mins",A1:CV300,106,FALSE)* 90)</f>
      </c>
      <c r="BO106" s="23469">
        <f>IF(HLOOKUP("Mins",A1:CV300,106,FALSE)=0,0,HLOOKUP("Gs - Open",A1:CV300,106,FALSE)/HLOOKUP("Mins",A1:CV300,106,FALSE)* 90)</f>
      </c>
      <c r="BP106" s="23470">
        <f>IF(HLOOKUP("Mins",A1:CV300,106,FALSE)=0,0,HLOOKUP("ICT Index",A1:CV300,106,FALSE)/HLOOKUP("Mins",A1:CV300,106,FALSE)* 90)</f>
      </c>
      <c r="BQ106" s="23471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3472">
        <f>0.0885*HLOOKUP("KP/90",A1:CV300,106,FALSE)</f>
      </c>
      <c r="BS106" s="23473">
        <f>5*HLOOKUP("xG/90",A1:CV300,106,FALSE)+3*HLOOKUP("xA/90",A1:CV300,106,FALSE)</f>
      </c>
      <c r="BT106" s="23474">
        <f>HLOOKUP("xPts/90",A1:CV300,106,FALSE)-(5*0.75*(HLOOKUP("PK Gs",A1:CV300,106,FALSE)+HLOOKUP("PK Miss",A1:CV300,106,FALSE))*90/HLOOKUP("Mins",A1:CV300,106,FALSE))</f>
      </c>
      <c r="BU106" s="23475">
        <f>IF(HLOOKUP("Mins",A1:CV300,106,FALSE)=0,0,HLOOKUP("fsXG",A1:CV300,106,FALSE)/HLOOKUP("Mins",A1:CV300,106,FALSE)* 90)</f>
      </c>
      <c r="BV106" s="23476">
        <f>IF(HLOOKUP("Mins",A1:CV300,106,FALSE)=0,0,HLOOKUP("fsXA",A1:CV300,106,FALSE)/HLOOKUP("Mins",A1:CV300,106,FALSE)* 90)</f>
      </c>
      <c r="BW106" s="23477">
        <f>5*HLOOKUP("fsXG/90",A1:CV300,106,FALSE)+3*HLOOKUP("fsXA/90",A1:CV300,106,FALSE)</f>
      </c>
      <c r="BX106" t="n" s="23478">
        <v>0.05088406801223755</v>
      </c>
      <c r="BY106" t="n" s="23479">
        <v>0.008003003895282745</v>
      </c>
      <c r="BZ106" s="23480">
        <f>5*HLOOKUP("uXG/90",A1:CV300,106,FALSE)+3*HLOOKUP("uXA/90",A1:CV300,106,FALSE)</f>
      </c>
    </row>
    <row r="107">
      <c r="A107" t="s" s="23481">
        <v>398</v>
      </c>
      <c r="B107" t="s" s="23482">
        <v>109</v>
      </c>
      <c r="C107" t="n" s="23483">
        <v>4.800000190734863</v>
      </c>
      <c r="D107" t="n" s="23484">
        <v>450.0</v>
      </c>
      <c r="E107" t="n" s="23485">
        <v>5.0</v>
      </c>
      <c r="F107" t="n" s="23486">
        <v>45.0</v>
      </c>
      <c r="G107" t="n" s="23487">
        <v>0.0</v>
      </c>
      <c r="H107" t="n" s="23488">
        <v>0.0</v>
      </c>
      <c r="I107" t="n" s="23489">
        <v>258.0</v>
      </c>
      <c r="J107" s="23490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3491">
        <v>1.0</v>
      </c>
      <c r="L107" t="n" s="23492">
        <v>4.0</v>
      </c>
      <c r="M107" t="n" s="23493">
        <v>5.0</v>
      </c>
      <c r="N107" t="n" s="23494">
        <v>5.0</v>
      </c>
      <c r="O107" t="n" s="23495">
        <v>2.0</v>
      </c>
      <c r="P107" s="23496">
        <f>IF(HLOOKUP("Shots",A1:CV300,107,FALSE)=0,0,HLOOKUP("SIB",A1:CV300,107,FALSE)/HLOOKUP("Shots",A1:CV300,107,FALSE))</f>
      </c>
      <c r="Q107" t="n" s="23497">
        <v>0.0</v>
      </c>
      <c r="R107" s="23498">
        <f>IF(HLOOKUP("Shots",A1:CV300,107,FALSE)=0,0,HLOOKUP("S6YD",A1:CV300,107,FALSE)/HLOOKUP("Shots",A1:CV300,107,FALSE))</f>
      </c>
      <c r="S107" t="n" s="23499">
        <v>0.0</v>
      </c>
      <c r="T107" s="23500">
        <f>IF(HLOOKUP("Shots",A1:CV300,107,FALSE)=0,0,HLOOKUP("Headers",A1:CV300,107,FALSE)/HLOOKUP("Shots",A1:CV300,107,FALSE))</f>
      </c>
      <c r="U107" t="n" s="23501">
        <v>1.0</v>
      </c>
      <c r="V107" s="23502">
        <f>IF(HLOOKUP("Shots",A1:CV300,107,FALSE)=0,0,HLOOKUP("SOT",A1:CV300,107,FALSE)/HLOOKUP("Shots",A1:CV300,107,FALSE))</f>
      </c>
      <c r="W107" s="23503">
        <f>IF(HLOOKUP("Shots",A1:CV300,107,FALSE)=0,0,HLOOKUP("Gs",A1:CV300,107,FALSE)/HLOOKUP("Shots",A1:CV300,107,FALSE))</f>
      </c>
      <c r="X107" t="n" s="23504">
        <v>0.0</v>
      </c>
      <c r="Y107" t="n" s="23505">
        <v>1.0</v>
      </c>
      <c r="Z107" t="n" s="23506">
        <v>3.0</v>
      </c>
      <c r="AA107" s="23507">
        <f>IF(HLOOKUP("KP",A1:CV300,107,FALSE)=0,0,HLOOKUP("As",A1:CV300,107,FALSE)/HLOOKUP("KP",A1:CV300,107,FALSE))</f>
      </c>
      <c r="AB107" s="23508"/>
      <c r="AC107" t="n" s="23509">
        <v>0.0</v>
      </c>
      <c r="AD107" t="n" s="23510">
        <v>0.0</v>
      </c>
      <c r="AE107" t="n" s="23511">
        <v>0.0</v>
      </c>
      <c r="AF107" t="n" s="23512">
        <v>0.0</v>
      </c>
      <c r="AG107" s="23513">
        <f>IF(HLOOKUP("BC",A1:CV300,107,FALSE)=0,0,HLOOKUP("Gs - BC",A1:CV300,107,FALSE)/HLOOKUP("BC",A1:CV300,107,FALSE))</f>
      </c>
      <c r="AH107" s="23514">
        <f>HLOOKUP("BC",A1:CV300,107,FALSE) - HLOOKUP("BC Miss",A1:CV300,107,FALSE)</f>
      </c>
      <c r="AI107" s="23515">
        <f>IF(HLOOKUP("Gs",A1:CV300,107,FALSE)=0,0,HLOOKUP("Gs - BC",A1:CV300,107,FALSE)/HLOOKUP("Gs",A1:CV300,107,FALSE))</f>
      </c>
      <c r="AJ107" t="n" s="23516">
        <v>0.0</v>
      </c>
      <c r="AK107" t="n" s="23517">
        <v>0.0</v>
      </c>
      <c r="AL107" s="23518">
        <f>HLOOKUP("BC",A1:CV300,107,FALSE) - (HLOOKUP("PK Gs",A1:CV300,107,FALSE) + HLOOKUP("PK Miss",A1:CV300,107,FALSE))</f>
      </c>
      <c r="AM107" s="23519">
        <f>HLOOKUP("BC Miss",A1:CV300,107,FALSE) - HLOOKUP("PK Miss",A1:CV300,107,FALSE)</f>
      </c>
      <c r="AN107" s="23520">
        <f>IF(HLOOKUP("BC - Open",A1:CV300,107,FALSE)=0,0,HLOOKUP("BC - Open Miss",A1:CV300,107,FALSE)/HLOOKUP("BC - Open",A1:CV300,107,FALSE))</f>
      </c>
      <c r="AO107" t="n" s="23521">
        <v>0.0</v>
      </c>
      <c r="AP107" s="23522">
        <f>IF(HLOOKUP("Gs",A1:CV300,107,FALSE)=0,0,HLOOKUP("GIB",A1:CV300,107,FALSE)/HLOOKUP("Gs",A1:CV300,107,FALSE))</f>
      </c>
      <c r="AQ107" t="n" s="23523">
        <v>0.0</v>
      </c>
      <c r="AR107" s="23524">
        <f>IF(HLOOKUP("Gs",A1:CV300,107,FALSE)=0,0,HLOOKUP("Gs - Open",A1:CV300,107,FALSE)/HLOOKUP("Gs",A1:CV300,107,FALSE))</f>
      </c>
      <c r="AS107" t="n" s="23525">
        <v>0.18</v>
      </c>
      <c r="AT107" t="n" s="23526">
        <v>0.22</v>
      </c>
      <c r="AU107" s="23527">
        <f>IF(HLOOKUP("Mins",A1:CV300,107,FALSE)=0,0,HLOOKUP("Pts",A1:CV300,107,FALSE)/HLOOKUP("Mins",A1:CV300,107,FALSE)* 90)</f>
      </c>
      <c r="AV107" s="23528">
        <f>IF(HLOOKUP("Apps",A1:CV300,107,FALSE)=0,0,HLOOKUP("Pts",A1:CV300,107,FALSE)/HLOOKUP("Apps",A1:CV300,107,FALSE)* 1)</f>
      </c>
      <c r="AW107" s="23529">
        <f>IF(HLOOKUP("Mins",A1:CV300,107,FALSE)=0,0,HLOOKUP("Gs",A1:CV300,107,FALSE)/HLOOKUP("Mins",A1:CV300,107,FALSE)* 90)</f>
      </c>
      <c r="AX107" s="23530">
        <f>IF(HLOOKUP("Mins",A1:CV300,107,FALSE)=0,0,HLOOKUP("Bonus",A1:CV300,107,FALSE)/HLOOKUP("Mins",A1:CV300,107,FALSE)* 90)</f>
      </c>
      <c r="AY107" s="23531">
        <f>IF(HLOOKUP("Mins",A1:CV300,107,FALSE)=0,0,HLOOKUP("BPS",A1:CV300,107,FALSE)/HLOOKUP("Mins",A1:CV300,107,FALSE)* 90)</f>
      </c>
      <c r="AZ107" s="23532">
        <f>IF(HLOOKUP("Mins",A1:CV300,107,FALSE)=0,0,HLOOKUP("Base BPS",A1:CV300,107,FALSE)/HLOOKUP("Mins",A1:CV300,107,FALSE)* 90)</f>
      </c>
      <c r="BA107" s="23533">
        <f>IF(HLOOKUP("Mins",A1:CV300,107,FALSE)=0,0,HLOOKUP("PenTchs",A1:CV300,107,FALSE)/HLOOKUP("Mins",A1:CV300,107,FALSE)* 90)</f>
      </c>
      <c r="BB107" s="23534">
        <f>IF(HLOOKUP("Mins",A1:CV300,107,FALSE)=0,0,HLOOKUP("Shots",A1:CV300,107,FALSE)/HLOOKUP("Mins",A1:CV300,107,FALSE)* 90)</f>
      </c>
      <c r="BC107" s="23535">
        <f>IF(HLOOKUP("Mins",A1:CV300,107,FALSE)=0,0,HLOOKUP("SIB",A1:CV300,107,FALSE)/HLOOKUP("Mins",A1:CV300,107,FALSE)* 90)</f>
      </c>
      <c r="BD107" s="23536">
        <f>IF(HLOOKUP("Mins",A1:CV300,107,FALSE)=0,0,HLOOKUP("S6YD",A1:CV300,107,FALSE)/HLOOKUP("Mins",A1:CV300,107,FALSE)* 90)</f>
      </c>
      <c r="BE107" s="23537">
        <f>IF(HLOOKUP("Mins",A1:CV300,107,FALSE)=0,0,HLOOKUP("Headers",A1:CV300,107,FALSE)/HLOOKUP("Mins",A1:CV300,107,FALSE)* 90)</f>
      </c>
      <c r="BF107" s="23538">
        <f>IF(HLOOKUP("Mins",A1:CV300,107,FALSE)=0,0,HLOOKUP("SOT",A1:CV300,107,FALSE)/HLOOKUP("Mins",A1:CV300,107,FALSE)* 90)</f>
      </c>
      <c r="BG107" s="23539">
        <f>IF(HLOOKUP("Mins",A1:CV300,107,FALSE)=0,0,HLOOKUP("As",A1:CV300,107,FALSE)/HLOOKUP("Mins",A1:CV300,107,FALSE)* 90)</f>
      </c>
      <c r="BH107" s="23540">
        <f>IF(HLOOKUP("Mins",A1:CV300,107,FALSE)=0,0,HLOOKUP("FPL As",A1:CV300,107,FALSE)/HLOOKUP("Mins",A1:CV300,107,FALSE)* 90)</f>
      </c>
      <c r="BI107" s="23541">
        <f>IF(HLOOKUP("Mins",A1:CV300,107,FALSE)=0,0,HLOOKUP("BC Created",A1:CV300,107,FALSE)/HLOOKUP("Mins",A1:CV300,107,FALSE)* 90)</f>
      </c>
      <c r="BJ107" s="23542">
        <f>IF(HLOOKUP("Mins",A1:CV300,107,FALSE)=0,0,HLOOKUP("KP",A1:CV300,107,FALSE)/HLOOKUP("Mins",A1:CV300,107,FALSE)* 90)</f>
      </c>
      <c r="BK107" s="23543">
        <f>IF(HLOOKUP("Mins",A1:CV300,107,FALSE)=0,0,HLOOKUP("BC",A1:CV300,107,FALSE)/HLOOKUP("Mins",A1:CV300,107,FALSE)* 90)</f>
      </c>
      <c r="BL107" s="23544">
        <f>IF(HLOOKUP("Mins",A1:CV300,107,FALSE)=0,0,HLOOKUP("BC Miss",A1:CV300,107,FALSE)/HLOOKUP("Mins",A1:CV300,107,FALSE)* 90)</f>
      </c>
      <c r="BM107" s="23545">
        <f>IF(HLOOKUP("Mins",A1:CV300,107,FALSE)=0,0,HLOOKUP("Gs - BC",A1:CV300,107,FALSE)/HLOOKUP("Mins",A1:CV300,107,FALSE)* 90)</f>
      </c>
      <c r="BN107" s="23546">
        <f>IF(HLOOKUP("Mins",A1:CV300,107,FALSE)=0,0,HLOOKUP("GIB",A1:CV300,107,FALSE)/HLOOKUP("Mins",A1:CV300,107,FALSE)* 90)</f>
      </c>
      <c r="BO107" s="23547">
        <f>IF(HLOOKUP("Mins",A1:CV300,107,FALSE)=0,0,HLOOKUP("Gs - Open",A1:CV300,107,FALSE)/HLOOKUP("Mins",A1:CV300,107,FALSE)* 90)</f>
      </c>
      <c r="BP107" s="23548">
        <f>IF(HLOOKUP("Mins",A1:CV300,107,FALSE)=0,0,HLOOKUP("ICT Index",A1:CV300,107,FALSE)/HLOOKUP("Mins",A1:CV300,107,FALSE)* 90)</f>
      </c>
      <c r="BQ107" s="23549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3550">
        <f>0.0885*HLOOKUP("KP/90",A1:CV300,107,FALSE)</f>
      </c>
      <c r="BS107" s="23551">
        <f>5*HLOOKUP("xG/90",A1:CV300,107,FALSE)+3*HLOOKUP("xA/90",A1:CV300,107,FALSE)</f>
      </c>
      <c r="BT107" s="23552">
        <f>HLOOKUP("xPts/90",A1:CV300,107,FALSE)-(5*0.75*(HLOOKUP("PK Gs",A1:CV300,107,FALSE)+HLOOKUP("PK Miss",A1:CV300,107,FALSE))*90/HLOOKUP("Mins",A1:CV300,107,FALSE))</f>
      </c>
      <c r="BU107" s="23553">
        <f>IF(HLOOKUP("Mins",A1:CV300,107,FALSE)=0,0,HLOOKUP("fsXG",A1:CV300,107,FALSE)/HLOOKUP("Mins",A1:CV300,107,FALSE)* 90)</f>
      </c>
      <c r="BV107" s="23554">
        <f>IF(HLOOKUP("Mins",A1:CV300,107,FALSE)=0,0,HLOOKUP("fsXA",A1:CV300,107,FALSE)/HLOOKUP("Mins",A1:CV300,107,FALSE)* 90)</f>
      </c>
      <c r="BW107" s="23555">
        <f>5*HLOOKUP("fsXG/90",A1:CV300,107,FALSE)+3*HLOOKUP("fsXA/90",A1:CV300,107,FALSE)</f>
      </c>
      <c r="BX107" t="n" s="23556">
        <v>0.03500863164663315</v>
      </c>
      <c r="BY107" t="n" s="23557">
        <v>0.04654407873749733</v>
      </c>
      <c r="BZ107" s="23558">
        <f>5*HLOOKUP("uXG/90",A1:CV300,107,FALSE)+3*HLOOKUP("uXA/90",A1:CV300,107,FALSE)</f>
      </c>
    </row>
    <row r="108">
      <c r="A108" t="s" s="23559">
        <v>399</v>
      </c>
      <c r="B108" t="s" s="23560">
        <v>94</v>
      </c>
      <c r="C108" t="n" s="23561">
        <v>5.800000190734863</v>
      </c>
      <c r="D108" t="n" s="23562">
        <v>131.0</v>
      </c>
      <c r="E108" t="n" s="23563">
        <v>3.0</v>
      </c>
      <c r="F108" t="n" s="23564">
        <v>36.0</v>
      </c>
      <c r="G108" t="n" s="23565">
        <v>0.0</v>
      </c>
      <c r="H108" t="n" s="23566">
        <v>2.0</v>
      </c>
      <c r="I108" t="n" s="23567">
        <v>171.0</v>
      </c>
      <c r="J108" s="23568">
        <f>HLOOKUP("BPS",A1:CV300,108,FALSE)-((-6*HLOOKUP("OG",A1:CV300,108,FALSE))+(-6*HLOOKUP("PK Miss",A1:CV300,108,FALSE))+(9*HLOOKUP("FPL As",A1:CV300,108,FALSE))+(0*HLOOKUP("CS",A1:CV300,108,FALSE))+(18*HLOOKUP("Gs",A1:CV300,108,FALSE)))</f>
      </c>
      <c r="K108" t="n" s="23569">
        <v>0.0</v>
      </c>
      <c r="L108" t="n" s="23570">
        <v>1.0</v>
      </c>
      <c r="M108" t="n" s="23571">
        <v>2.0</v>
      </c>
      <c r="N108" t="n" s="23572">
        <v>0.0</v>
      </c>
      <c r="O108" t="n" s="23573">
        <v>0.0</v>
      </c>
      <c r="P108" s="23574">
        <f>IF(HLOOKUP("Shots",A1:CV300,108,FALSE)=0,0,HLOOKUP("SIB",A1:CV300,108,FALSE)/HLOOKUP("Shots",A1:CV300,108,FALSE))</f>
      </c>
      <c r="Q108" t="n" s="23575">
        <v>0.0</v>
      </c>
      <c r="R108" s="23576">
        <f>IF(HLOOKUP("Shots",A1:CV300,108,FALSE)=0,0,HLOOKUP("S6YD",A1:CV300,108,FALSE)/HLOOKUP("Shots",A1:CV300,108,FALSE))</f>
      </c>
      <c r="S108" t="n" s="23577">
        <v>0.0</v>
      </c>
      <c r="T108" s="23578">
        <f>IF(HLOOKUP("Shots",A1:CV300,108,FALSE)=0,0,HLOOKUP("Headers",A1:CV300,108,FALSE)/HLOOKUP("Shots",A1:CV300,108,FALSE))</f>
      </c>
      <c r="U108" t="n" s="23579">
        <v>0.0</v>
      </c>
      <c r="V108" s="23580">
        <f>IF(HLOOKUP("Shots",A1:CV300,108,FALSE)=0,0,HLOOKUP("SOT",A1:CV300,108,FALSE)/HLOOKUP("Shots",A1:CV300,108,FALSE))</f>
      </c>
      <c r="W108" s="23581">
        <f>IF(HLOOKUP("Shots",A1:CV300,108,FALSE)=0,0,HLOOKUP("Gs",A1:CV300,108,FALSE)/HLOOKUP("Shots",A1:CV300,108,FALSE))</f>
      </c>
      <c r="X108" t="n" s="23582">
        <v>0.0</v>
      </c>
      <c r="Y108" t="n" s="23583">
        <v>1.0</v>
      </c>
      <c r="Z108" t="n" s="23584">
        <v>3.0</v>
      </c>
      <c r="AA108" s="23585">
        <f>IF(HLOOKUP("KP",A1:CV300,108,FALSE)=0,0,HLOOKUP("As",A1:CV300,108,FALSE)/HLOOKUP("KP",A1:CV300,108,FALSE))</f>
      </c>
      <c r="AB108" s="23586"/>
      <c r="AC108" t="n" s="23587">
        <v>0.0</v>
      </c>
      <c r="AD108" t="n" s="23588">
        <v>0.0</v>
      </c>
      <c r="AE108" t="n" s="23589">
        <v>0.0</v>
      </c>
      <c r="AF108" t="n" s="23590">
        <v>0.0</v>
      </c>
      <c r="AG108" s="23591">
        <f>IF(HLOOKUP("BC",A1:CV300,108,FALSE)=0,0,HLOOKUP("Gs - BC",A1:CV300,108,FALSE)/HLOOKUP("BC",A1:CV300,108,FALSE))</f>
      </c>
      <c r="AH108" s="23592">
        <f>HLOOKUP("BC",A1:CV300,108,FALSE) - HLOOKUP("BC Miss",A1:CV300,108,FALSE)</f>
      </c>
      <c r="AI108" s="23593">
        <f>IF(HLOOKUP("Gs",A1:CV300,108,FALSE)=0,0,HLOOKUP("Gs - BC",A1:CV300,108,FALSE)/HLOOKUP("Gs",A1:CV300,108,FALSE))</f>
      </c>
      <c r="AJ108" t="n" s="23594">
        <v>0.0</v>
      </c>
      <c r="AK108" t="n" s="23595">
        <v>0.0</v>
      </c>
      <c r="AL108" s="23596">
        <f>HLOOKUP("BC",A1:CV300,108,FALSE) - (HLOOKUP("PK Gs",A1:CV300,108,FALSE) + HLOOKUP("PK Miss",A1:CV300,108,FALSE))</f>
      </c>
      <c r="AM108" s="23597">
        <f>HLOOKUP("BC Miss",A1:CV300,108,FALSE) - HLOOKUP("PK Miss",A1:CV300,108,FALSE)</f>
      </c>
      <c r="AN108" s="23598">
        <f>IF(HLOOKUP("BC - Open",A1:CV300,108,FALSE)=0,0,HLOOKUP("BC - Open Miss",A1:CV300,108,FALSE)/HLOOKUP("BC - Open",A1:CV300,108,FALSE))</f>
      </c>
      <c r="AO108" t="n" s="23599">
        <v>0.0</v>
      </c>
      <c r="AP108" s="23600">
        <f>IF(HLOOKUP("Gs",A1:CV300,108,FALSE)=0,0,HLOOKUP("GIB",A1:CV300,108,FALSE)/HLOOKUP("Gs",A1:CV300,108,FALSE))</f>
      </c>
      <c r="AQ108" t="n" s="23601">
        <v>0.0</v>
      </c>
      <c r="AR108" s="23602">
        <f>IF(HLOOKUP("Gs",A1:CV300,108,FALSE)=0,0,HLOOKUP("Gs - Open",A1:CV300,108,FALSE)/HLOOKUP("Gs",A1:CV300,108,FALSE))</f>
      </c>
      <c r="AS108" t="n" s="23603">
        <v>0.0</v>
      </c>
      <c r="AT108" t="n" s="23604">
        <v>0.1</v>
      </c>
      <c r="AU108" s="23605">
        <f>IF(HLOOKUP("Mins",A1:CV300,108,FALSE)=0,0,HLOOKUP("Pts",A1:CV300,108,FALSE)/HLOOKUP("Mins",A1:CV300,108,FALSE)* 90)</f>
      </c>
      <c r="AV108" s="23606">
        <f>IF(HLOOKUP("Apps",A1:CV300,108,FALSE)=0,0,HLOOKUP("Pts",A1:CV300,108,FALSE)/HLOOKUP("Apps",A1:CV300,108,FALSE)* 1)</f>
      </c>
      <c r="AW108" s="23607">
        <f>IF(HLOOKUP("Mins",A1:CV300,108,FALSE)=0,0,HLOOKUP("Gs",A1:CV300,108,FALSE)/HLOOKUP("Mins",A1:CV300,108,FALSE)* 90)</f>
      </c>
      <c r="AX108" s="23608">
        <f>IF(HLOOKUP("Mins",A1:CV300,108,FALSE)=0,0,HLOOKUP("Bonus",A1:CV300,108,FALSE)/HLOOKUP("Mins",A1:CV300,108,FALSE)* 90)</f>
      </c>
      <c r="AY108" s="23609">
        <f>IF(HLOOKUP("Mins",A1:CV300,108,FALSE)=0,0,HLOOKUP("BPS",A1:CV300,108,FALSE)/HLOOKUP("Mins",A1:CV300,108,FALSE)* 90)</f>
      </c>
      <c r="AZ108" s="23610">
        <f>IF(HLOOKUP("Mins",A1:CV300,108,FALSE)=0,0,HLOOKUP("Base BPS",A1:CV300,108,FALSE)/HLOOKUP("Mins",A1:CV300,108,FALSE)* 90)</f>
      </c>
      <c r="BA108" s="23611">
        <f>IF(HLOOKUP("Mins",A1:CV300,108,FALSE)=0,0,HLOOKUP("PenTchs",A1:CV300,108,FALSE)/HLOOKUP("Mins",A1:CV300,108,FALSE)* 90)</f>
      </c>
      <c r="BB108" s="23612">
        <f>IF(HLOOKUP("Mins",A1:CV300,108,FALSE)=0,0,HLOOKUP("Shots",A1:CV300,108,FALSE)/HLOOKUP("Mins",A1:CV300,108,FALSE)* 90)</f>
      </c>
      <c r="BC108" s="23613">
        <f>IF(HLOOKUP("Mins",A1:CV300,108,FALSE)=0,0,HLOOKUP("SIB",A1:CV300,108,FALSE)/HLOOKUP("Mins",A1:CV300,108,FALSE)* 90)</f>
      </c>
      <c r="BD108" s="23614">
        <f>IF(HLOOKUP("Mins",A1:CV300,108,FALSE)=0,0,HLOOKUP("S6YD",A1:CV300,108,FALSE)/HLOOKUP("Mins",A1:CV300,108,FALSE)* 90)</f>
      </c>
      <c r="BE108" s="23615">
        <f>IF(HLOOKUP("Mins",A1:CV300,108,FALSE)=0,0,HLOOKUP("Headers",A1:CV300,108,FALSE)/HLOOKUP("Mins",A1:CV300,108,FALSE)* 90)</f>
      </c>
      <c r="BF108" s="23616">
        <f>IF(HLOOKUP("Mins",A1:CV300,108,FALSE)=0,0,HLOOKUP("SOT",A1:CV300,108,FALSE)/HLOOKUP("Mins",A1:CV300,108,FALSE)* 90)</f>
      </c>
      <c r="BG108" s="23617">
        <f>IF(HLOOKUP("Mins",A1:CV300,108,FALSE)=0,0,HLOOKUP("As",A1:CV300,108,FALSE)/HLOOKUP("Mins",A1:CV300,108,FALSE)* 90)</f>
      </c>
      <c r="BH108" s="23618">
        <f>IF(HLOOKUP("Mins",A1:CV300,108,FALSE)=0,0,HLOOKUP("FPL As",A1:CV300,108,FALSE)/HLOOKUP("Mins",A1:CV300,108,FALSE)* 90)</f>
      </c>
      <c r="BI108" s="23619">
        <f>IF(HLOOKUP("Mins",A1:CV300,108,FALSE)=0,0,HLOOKUP("BC Created",A1:CV300,108,FALSE)/HLOOKUP("Mins",A1:CV300,108,FALSE)* 90)</f>
      </c>
      <c r="BJ108" s="23620">
        <f>IF(HLOOKUP("Mins",A1:CV300,108,FALSE)=0,0,HLOOKUP("KP",A1:CV300,108,FALSE)/HLOOKUP("Mins",A1:CV300,108,FALSE)* 90)</f>
      </c>
      <c r="BK108" s="23621">
        <f>IF(HLOOKUP("Mins",A1:CV300,108,FALSE)=0,0,HLOOKUP("BC",A1:CV300,108,FALSE)/HLOOKUP("Mins",A1:CV300,108,FALSE)* 90)</f>
      </c>
      <c r="BL108" s="23622">
        <f>IF(HLOOKUP("Mins",A1:CV300,108,FALSE)=0,0,HLOOKUP("BC Miss",A1:CV300,108,FALSE)/HLOOKUP("Mins",A1:CV300,108,FALSE)* 90)</f>
      </c>
      <c r="BM108" s="23623">
        <f>IF(HLOOKUP("Mins",A1:CV300,108,FALSE)=0,0,HLOOKUP("Gs - BC",A1:CV300,108,FALSE)/HLOOKUP("Mins",A1:CV300,108,FALSE)* 90)</f>
      </c>
      <c r="BN108" s="23624">
        <f>IF(HLOOKUP("Mins",A1:CV300,108,FALSE)=0,0,HLOOKUP("GIB",A1:CV300,108,FALSE)/HLOOKUP("Mins",A1:CV300,108,FALSE)* 90)</f>
      </c>
      <c r="BO108" s="23625">
        <f>IF(HLOOKUP("Mins",A1:CV300,108,FALSE)=0,0,HLOOKUP("Gs - Open",A1:CV300,108,FALSE)/HLOOKUP("Mins",A1:CV300,108,FALSE)* 90)</f>
      </c>
      <c r="BP108" s="23626">
        <f>IF(HLOOKUP("Mins",A1:CV300,108,FALSE)=0,0,HLOOKUP("ICT Index",A1:CV300,108,FALSE)/HLOOKUP("Mins",A1:CV300,108,FALSE)* 90)</f>
      </c>
      <c r="BQ108" s="23627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</c>
      <c r="BR108" s="23628">
        <f>0.0885*HLOOKUP("KP/90",A1:CV300,108,FALSE)</f>
      </c>
      <c r="BS108" s="23629">
        <f>5*HLOOKUP("xG/90",A1:CV300,108,FALSE)+3*HLOOKUP("xA/90",A1:CV300,108,FALSE)</f>
      </c>
      <c r="BT108" s="23630">
        <f>HLOOKUP("xPts/90",A1:CV300,108,FALSE)-(5*0.75*(HLOOKUP("PK Gs",A1:CV300,108,FALSE)+HLOOKUP("PK Miss",A1:CV300,108,FALSE))*90/HLOOKUP("Mins",A1:CV300,108,FALSE))</f>
      </c>
      <c r="BU108" s="23631">
        <f>IF(HLOOKUP("Mins",A1:CV300,108,FALSE)=0,0,HLOOKUP("fsXG",A1:CV300,108,FALSE)/HLOOKUP("Mins",A1:CV300,108,FALSE)* 90)</f>
      </c>
      <c r="BV108" s="23632">
        <f>IF(HLOOKUP("Mins",A1:CV300,108,FALSE)=0,0,HLOOKUP("fsXA",A1:CV300,108,FALSE)/HLOOKUP("Mins",A1:CV300,108,FALSE)* 90)</f>
      </c>
      <c r="BW108" s="23633">
        <f>5*HLOOKUP("fsXG/90",A1:CV300,108,FALSE)+3*HLOOKUP("fsXA/90",A1:CV300,108,FALSE)</f>
      </c>
      <c r="BX108" t="n" s="23634">
        <v>0.0</v>
      </c>
      <c r="BY108" t="n" s="23635">
        <v>0.10815051198005676</v>
      </c>
      <c r="BZ108" s="23636">
        <f>5*HLOOKUP("uXG/90",A1:CV300,108,FALSE)+3*HLOOKUP("uXA/90",A1:CV300,108,FALSE)</f>
      </c>
    </row>
    <row r="109">
      <c r="A109" t="s" s="23637">
        <v>400</v>
      </c>
      <c r="B109" t="s" s="23638">
        <v>127</v>
      </c>
      <c r="C109" t="n" s="23639">
        <v>6.199999809265137</v>
      </c>
      <c r="D109" t="n" s="23640">
        <v>81.0</v>
      </c>
      <c r="E109" t="n" s="23641">
        <v>2.0</v>
      </c>
      <c r="F109" t="n" s="23642">
        <v>27.0</v>
      </c>
      <c r="G109" t="n" s="23643">
        <v>0.0</v>
      </c>
      <c r="H109" t="n" s="23644">
        <v>0.0</v>
      </c>
      <c r="I109" t="n" s="23645">
        <v>87.0</v>
      </c>
      <c r="J109" s="23646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3647">
        <v>0.0</v>
      </c>
      <c r="L109" t="n" s="23648">
        <v>4.0</v>
      </c>
      <c r="M109" t="n" s="23649">
        <v>1.0</v>
      </c>
      <c r="N109" t="n" s="23650">
        <v>2.0</v>
      </c>
      <c r="O109" t="n" s="23651">
        <v>1.0</v>
      </c>
      <c r="P109" s="23652">
        <f>IF(HLOOKUP("Shots",A1:CV300,109,FALSE)=0,0,HLOOKUP("SIB",A1:CV300,109,FALSE)/HLOOKUP("Shots",A1:CV300,109,FALSE))</f>
      </c>
      <c r="Q109" t="n" s="23653">
        <v>0.0</v>
      </c>
      <c r="R109" s="23654">
        <f>IF(HLOOKUP("Shots",A1:CV300,109,FALSE)=0,0,HLOOKUP("S6YD",A1:CV300,109,FALSE)/HLOOKUP("Shots",A1:CV300,109,FALSE))</f>
      </c>
      <c r="S109" t="n" s="23655">
        <v>0.0</v>
      </c>
      <c r="T109" s="23656">
        <f>IF(HLOOKUP("Shots",A1:CV300,109,FALSE)=0,0,HLOOKUP("Headers",A1:CV300,109,FALSE)/HLOOKUP("Shots",A1:CV300,109,FALSE))</f>
      </c>
      <c r="U109" t="n" s="23657">
        <v>0.0</v>
      </c>
      <c r="V109" s="23658">
        <f>IF(HLOOKUP("Shots",A1:CV300,109,FALSE)=0,0,HLOOKUP("SOT",A1:CV300,109,FALSE)/HLOOKUP("Shots",A1:CV300,109,FALSE))</f>
      </c>
      <c r="W109" s="23659">
        <f>IF(HLOOKUP("Shots",A1:CV300,109,FALSE)=0,0,HLOOKUP("Gs",A1:CV300,109,FALSE)/HLOOKUP("Shots",A1:CV300,109,FALSE))</f>
      </c>
      <c r="X109" t="n" s="23660">
        <v>0.0</v>
      </c>
      <c r="Y109" t="n" s="23661">
        <v>0.0</v>
      </c>
      <c r="Z109" t="n" s="23662">
        <v>1.0</v>
      </c>
      <c r="AA109" s="23663">
        <f>IF(HLOOKUP("KP",A1:CV300,109,FALSE)=0,0,HLOOKUP("As",A1:CV300,109,FALSE)/HLOOKUP("KP",A1:CV300,109,FALSE))</f>
      </c>
      <c r="AB109" s="23664"/>
      <c r="AC109" t="n" s="23665">
        <v>0.0</v>
      </c>
      <c r="AD109" t="n" s="23666">
        <v>0.0</v>
      </c>
      <c r="AE109" t="n" s="23667">
        <v>0.0</v>
      </c>
      <c r="AF109" t="n" s="23668">
        <v>0.0</v>
      </c>
      <c r="AG109" s="23669">
        <f>IF(HLOOKUP("BC",A1:CV300,109,FALSE)=0,0,HLOOKUP("Gs - BC",A1:CV300,109,FALSE)/HLOOKUP("BC",A1:CV300,109,FALSE))</f>
      </c>
      <c r="AH109" s="23670">
        <f>HLOOKUP("BC",A1:CV300,109,FALSE) - HLOOKUP("BC Miss",A1:CV300,109,FALSE)</f>
      </c>
      <c r="AI109" s="23671">
        <f>IF(HLOOKUP("Gs",A1:CV300,109,FALSE)=0,0,HLOOKUP("Gs - BC",A1:CV300,109,FALSE)/HLOOKUP("Gs",A1:CV300,109,FALSE))</f>
      </c>
      <c r="AJ109" t="n" s="23672">
        <v>0.0</v>
      </c>
      <c r="AK109" t="n" s="23673">
        <v>0.0</v>
      </c>
      <c r="AL109" s="23674">
        <f>HLOOKUP("BC",A1:CV300,109,FALSE) - (HLOOKUP("PK Gs",A1:CV300,109,FALSE) + HLOOKUP("PK Miss",A1:CV300,109,FALSE))</f>
      </c>
      <c r="AM109" s="23675">
        <f>HLOOKUP("BC Miss",A1:CV300,109,FALSE) - HLOOKUP("PK Miss",A1:CV300,109,FALSE)</f>
      </c>
      <c r="AN109" s="23676">
        <f>IF(HLOOKUP("BC - Open",A1:CV300,109,FALSE)=0,0,HLOOKUP("BC - Open Miss",A1:CV300,109,FALSE)/HLOOKUP("BC - Open",A1:CV300,109,FALSE))</f>
      </c>
      <c r="AO109" t="n" s="23677">
        <v>0.0</v>
      </c>
      <c r="AP109" s="23678">
        <f>IF(HLOOKUP("Gs",A1:CV300,109,FALSE)=0,0,HLOOKUP("GIB",A1:CV300,109,FALSE)/HLOOKUP("Gs",A1:CV300,109,FALSE))</f>
      </c>
      <c r="AQ109" t="n" s="23679">
        <v>0.0</v>
      </c>
      <c r="AR109" s="23680">
        <f>IF(HLOOKUP("Gs",A1:CV300,109,FALSE)=0,0,HLOOKUP("Gs - Open",A1:CV300,109,FALSE)/HLOOKUP("Gs",A1:CV300,109,FALSE))</f>
      </c>
      <c r="AS109" t="n" s="23681">
        <v>0.04</v>
      </c>
      <c r="AT109" t="n" s="23682">
        <v>0.03</v>
      </c>
      <c r="AU109" s="23683">
        <f>IF(HLOOKUP("Mins",A1:CV300,109,FALSE)=0,0,HLOOKUP("Pts",A1:CV300,109,FALSE)/HLOOKUP("Mins",A1:CV300,109,FALSE)* 90)</f>
      </c>
      <c r="AV109" s="23684">
        <f>IF(HLOOKUP("Apps",A1:CV300,109,FALSE)=0,0,HLOOKUP("Pts",A1:CV300,109,FALSE)/HLOOKUP("Apps",A1:CV300,109,FALSE)* 1)</f>
      </c>
      <c r="AW109" s="23685">
        <f>IF(HLOOKUP("Mins",A1:CV300,109,FALSE)=0,0,HLOOKUP("Gs",A1:CV300,109,FALSE)/HLOOKUP("Mins",A1:CV300,109,FALSE)* 90)</f>
      </c>
      <c r="AX109" s="23686">
        <f>IF(HLOOKUP("Mins",A1:CV300,109,FALSE)=0,0,HLOOKUP("Bonus",A1:CV300,109,FALSE)/HLOOKUP("Mins",A1:CV300,109,FALSE)* 90)</f>
      </c>
      <c r="AY109" s="23687">
        <f>IF(HLOOKUP("Mins",A1:CV300,109,FALSE)=0,0,HLOOKUP("BPS",A1:CV300,109,FALSE)/HLOOKUP("Mins",A1:CV300,109,FALSE)* 90)</f>
      </c>
      <c r="AZ109" s="23688">
        <f>IF(HLOOKUP("Mins",A1:CV300,109,FALSE)=0,0,HLOOKUP("Base BPS",A1:CV300,109,FALSE)/HLOOKUP("Mins",A1:CV300,109,FALSE)* 90)</f>
      </c>
      <c r="BA109" s="23689">
        <f>IF(HLOOKUP("Mins",A1:CV300,109,FALSE)=0,0,HLOOKUP("PenTchs",A1:CV300,109,FALSE)/HLOOKUP("Mins",A1:CV300,109,FALSE)* 90)</f>
      </c>
      <c r="BB109" s="23690">
        <f>IF(HLOOKUP("Mins",A1:CV300,109,FALSE)=0,0,HLOOKUP("Shots",A1:CV300,109,FALSE)/HLOOKUP("Mins",A1:CV300,109,FALSE)* 90)</f>
      </c>
      <c r="BC109" s="23691">
        <f>IF(HLOOKUP("Mins",A1:CV300,109,FALSE)=0,0,HLOOKUP("SIB",A1:CV300,109,FALSE)/HLOOKUP("Mins",A1:CV300,109,FALSE)* 90)</f>
      </c>
      <c r="BD109" s="23692">
        <f>IF(HLOOKUP("Mins",A1:CV300,109,FALSE)=0,0,HLOOKUP("S6YD",A1:CV300,109,FALSE)/HLOOKUP("Mins",A1:CV300,109,FALSE)* 90)</f>
      </c>
      <c r="BE109" s="23693">
        <f>IF(HLOOKUP("Mins",A1:CV300,109,FALSE)=0,0,HLOOKUP("Headers",A1:CV300,109,FALSE)/HLOOKUP("Mins",A1:CV300,109,FALSE)* 90)</f>
      </c>
      <c r="BF109" s="23694">
        <f>IF(HLOOKUP("Mins",A1:CV300,109,FALSE)=0,0,HLOOKUP("SOT",A1:CV300,109,FALSE)/HLOOKUP("Mins",A1:CV300,109,FALSE)* 90)</f>
      </c>
      <c r="BG109" s="23695">
        <f>IF(HLOOKUP("Mins",A1:CV300,109,FALSE)=0,0,HLOOKUP("As",A1:CV300,109,FALSE)/HLOOKUP("Mins",A1:CV300,109,FALSE)* 90)</f>
      </c>
      <c r="BH109" s="23696">
        <f>IF(HLOOKUP("Mins",A1:CV300,109,FALSE)=0,0,HLOOKUP("FPL As",A1:CV300,109,FALSE)/HLOOKUP("Mins",A1:CV300,109,FALSE)* 90)</f>
      </c>
      <c r="BI109" s="23697">
        <f>IF(HLOOKUP("Mins",A1:CV300,109,FALSE)=0,0,HLOOKUP("BC Created",A1:CV300,109,FALSE)/HLOOKUP("Mins",A1:CV300,109,FALSE)* 90)</f>
      </c>
      <c r="BJ109" s="23698">
        <f>IF(HLOOKUP("Mins",A1:CV300,109,FALSE)=0,0,HLOOKUP("KP",A1:CV300,109,FALSE)/HLOOKUP("Mins",A1:CV300,109,FALSE)* 90)</f>
      </c>
      <c r="BK109" s="23699">
        <f>IF(HLOOKUP("Mins",A1:CV300,109,FALSE)=0,0,HLOOKUP("BC",A1:CV300,109,FALSE)/HLOOKUP("Mins",A1:CV300,109,FALSE)* 90)</f>
      </c>
      <c r="BL109" s="23700">
        <f>IF(HLOOKUP("Mins",A1:CV300,109,FALSE)=0,0,HLOOKUP("BC Miss",A1:CV300,109,FALSE)/HLOOKUP("Mins",A1:CV300,109,FALSE)* 90)</f>
      </c>
      <c r="BM109" s="23701">
        <f>IF(HLOOKUP("Mins",A1:CV300,109,FALSE)=0,0,HLOOKUP("Gs - BC",A1:CV300,109,FALSE)/HLOOKUP("Mins",A1:CV300,109,FALSE)* 90)</f>
      </c>
      <c r="BN109" s="23702">
        <f>IF(HLOOKUP("Mins",A1:CV300,109,FALSE)=0,0,HLOOKUP("GIB",A1:CV300,109,FALSE)/HLOOKUP("Mins",A1:CV300,109,FALSE)* 90)</f>
      </c>
      <c r="BO109" s="23703">
        <f>IF(HLOOKUP("Mins",A1:CV300,109,FALSE)=0,0,HLOOKUP("Gs - Open",A1:CV300,109,FALSE)/HLOOKUP("Mins",A1:CV300,109,FALSE)* 90)</f>
      </c>
      <c r="BP109" s="23704">
        <f>IF(HLOOKUP("Mins",A1:CV300,109,FALSE)=0,0,HLOOKUP("ICT Index",A1:CV300,109,FALSE)/HLOOKUP("Mins",A1:CV300,109,FALSE)* 90)</f>
      </c>
      <c r="BQ109" s="23705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3706">
        <f>0.0885*HLOOKUP("KP/90",A1:CV300,109,FALSE)</f>
      </c>
      <c r="BS109" s="23707">
        <f>5*HLOOKUP("xG/90",A1:CV300,109,FALSE)+3*HLOOKUP("xA/90",A1:CV300,109,FALSE)</f>
      </c>
      <c r="BT109" s="23708">
        <f>HLOOKUP("xPts/90",A1:CV300,109,FALSE)-(5*0.75*(HLOOKUP("PK Gs",A1:CV300,109,FALSE)+HLOOKUP("PK Miss",A1:CV300,109,FALSE))*90/HLOOKUP("Mins",A1:CV300,109,FALSE))</f>
      </c>
      <c r="BU109" s="23709">
        <f>IF(HLOOKUP("Mins",A1:CV300,109,FALSE)=0,0,HLOOKUP("fsXG",A1:CV300,109,FALSE)/HLOOKUP("Mins",A1:CV300,109,FALSE)* 90)</f>
      </c>
      <c r="BV109" s="23710">
        <f>IF(HLOOKUP("Mins",A1:CV300,109,FALSE)=0,0,HLOOKUP("fsXA",A1:CV300,109,FALSE)/HLOOKUP("Mins",A1:CV300,109,FALSE)* 90)</f>
      </c>
      <c r="BW109" s="23711">
        <f>5*HLOOKUP("fsXG/90",A1:CV300,109,FALSE)+3*HLOOKUP("fsXA/90",A1:CV300,109,FALSE)</f>
      </c>
      <c r="BX109" t="n" s="23712">
        <v>0.14428606629371643</v>
      </c>
      <c r="BY109" t="n" s="23713">
        <v>0.1359911561012268</v>
      </c>
      <c r="BZ109" s="23714">
        <f>5*HLOOKUP("uXG/90",A1:CV300,109,FALSE)+3*HLOOKUP("uXA/90",A1:CV300,109,FALSE)</f>
      </c>
    </row>
    <row r="110">
      <c r="A110" t="s" s="23715">
        <v>401</v>
      </c>
      <c r="B110" t="s" s="23716">
        <v>87</v>
      </c>
      <c r="C110" t="n" s="23717">
        <v>5.699999809265137</v>
      </c>
      <c r="D110" t="n" s="23718">
        <v>263.0</v>
      </c>
      <c r="E110" t="n" s="23719">
        <v>5.0</v>
      </c>
      <c r="F110" t="n" s="23720">
        <v>50.0</v>
      </c>
      <c r="G110" t="n" s="23721">
        <v>1.0</v>
      </c>
      <c r="H110" t="n" s="23722">
        <v>6.0</v>
      </c>
      <c r="I110" t="n" s="23723">
        <v>198.0</v>
      </c>
      <c r="J110" s="23724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3725">
        <v>0.0</v>
      </c>
      <c r="L110" t="n" s="23726">
        <v>2.0</v>
      </c>
      <c r="M110" t="n" s="23727">
        <v>3.0</v>
      </c>
      <c r="N110" t="n" s="23728">
        <v>3.0</v>
      </c>
      <c r="O110" t="n" s="23729">
        <v>1.0</v>
      </c>
      <c r="P110" s="23730">
        <f>IF(HLOOKUP("Shots",A1:CV300,110,FALSE)=0,0,HLOOKUP("SIB",A1:CV300,110,FALSE)/HLOOKUP("Shots",A1:CV300,110,FALSE))</f>
      </c>
      <c r="Q110" t="n" s="23731">
        <v>0.0</v>
      </c>
      <c r="R110" s="23732">
        <f>IF(HLOOKUP("Shots",A1:CV300,110,FALSE)=0,0,HLOOKUP("S6YD",A1:CV300,110,FALSE)/HLOOKUP("Shots",A1:CV300,110,FALSE))</f>
      </c>
      <c r="S110" t="n" s="23733">
        <v>0.0</v>
      </c>
      <c r="T110" s="23734">
        <f>IF(HLOOKUP("Shots",A1:CV300,110,FALSE)=0,0,HLOOKUP("Headers",A1:CV300,110,FALSE)/HLOOKUP("Shots",A1:CV300,110,FALSE))</f>
      </c>
      <c r="U110" t="n" s="23735">
        <v>2.0</v>
      </c>
      <c r="V110" s="23736">
        <f>IF(HLOOKUP("Shots",A1:CV300,110,FALSE)=0,0,HLOOKUP("SOT",A1:CV300,110,FALSE)/HLOOKUP("Shots",A1:CV300,110,FALSE))</f>
      </c>
      <c r="W110" s="23737">
        <f>IF(HLOOKUP("Shots",A1:CV300,110,FALSE)=0,0,HLOOKUP("Gs",A1:CV300,110,FALSE)/HLOOKUP("Shots",A1:CV300,110,FALSE))</f>
      </c>
      <c r="X110" t="n" s="23738">
        <v>0.0</v>
      </c>
      <c r="Y110" t="n" s="23739">
        <v>2.0</v>
      </c>
      <c r="Z110" t="n" s="23740">
        <v>5.0</v>
      </c>
      <c r="AA110" s="23741">
        <f>IF(HLOOKUP("KP",A1:CV300,110,FALSE)=0,0,HLOOKUP("As",A1:CV300,110,FALSE)/HLOOKUP("KP",A1:CV300,110,FALSE))</f>
      </c>
      <c r="AB110" s="23742"/>
      <c r="AC110" t="n" s="23743">
        <v>100.0</v>
      </c>
      <c r="AD110" t="n" s="23744">
        <v>1.0</v>
      </c>
      <c r="AE110" t="n" s="23745">
        <v>0.0</v>
      </c>
      <c r="AF110" t="n" s="23746">
        <v>0.0</v>
      </c>
      <c r="AG110" s="23747">
        <f>IF(HLOOKUP("BC",A1:CV300,110,FALSE)=0,0,HLOOKUP("Gs - BC",A1:CV300,110,FALSE)/HLOOKUP("BC",A1:CV300,110,FALSE))</f>
      </c>
      <c r="AH110" s="23748">
        <f>HLOOKUP("BC",A1:CV300,110,FALSE) - HLOOKUP("BC Miss",A1:CV300,110,FALSE)</f>
      </c>
      <c r="AI110" s="23749">
        <f>IF(HLOOKUP("Gs",A1:CV300,110,FALSE)=0,0,HLOOKUP("Gs - BC",A1:CV300,110,FALSE)/HLOOKUP("Gs",A1:CV300,110,FALSE))</f>
      </c>
      <c r="AJ110" t="n" s="23750">
        <v>0.0</v>
      </c>
      <c r="AK110" t="n" s="23751">
        <v>0.0</v>
      </c>
      <c r="AL110" s="23752">
        <f>HLOOKUP("BC",A1:CV300,110,FALSE) - (HLOOKUP("PK Gs",A1:CV300,110,FALSE) + HLOOKUP("PK Miss",A1:CV300,110,FALSE))</f>
      </c>
      <c r="AM110" s="23753">
        <f>HLOOKUP("BC Miss",A1:CV300,110,FALSE) - HLOOKUP("PK Miss",A1:CV300,110,FALSE)</f>
      </c>
      <c r="AN110" s="23754">
        <f>IF(HLOOKUP("BC - Open",A1:CV300,110,FALSE)=0,0,HLOOKUP("BC - Open Miss",A1:CV300,110,FALSE)/HLOOKUP("BC - Open",A1:CV300,110,FALSE))</f>
      </c>
      <c r="AO110" t="n" s="23755">
        <v>1.0</v>
      </c>
      <c r="AP110" s="23756">
        <f>IF(HLOOKUP("Gs",A1:CV300,110,FALSE)=0,0,HLOOKUP("GIB",A1:CV300,110,FALSE)/HLOOKUP("Gs",A1:CV300,110,FALSE))</f>
      </c>
      <c r="AQ110" t="n" s="23757">
        <v>1.0</v>
      </c>
      <c r="AR110" s="23758">
        <f>IF(HLOOKUP("Gs",A1:CV300,110,FALSE)=0,0,HLOOKUP("Gs - Open",A1:CV300,110,FALSE)/HLOOKUP("Gs",A1:CV300,110,FALSE))</f>
      </c>
      <c r="AS110" t="n" s="23759">
        <v>0.14</v>
      </c>
      <c r="AT110" t="n" s="23760">
        <v>0.26</v>
      </c>
      <c r="AU110" s="23761">
        <f>IF(HLOOKUP("Mins",A1:CV300,110,FALSE)=0,0,HLOOKUP("Pts",A1:CV300,110,FALSE)/HLOOKUP("Mins",A1:CV300,110,FALSE)* 90)</f>
      </c>
      <c r="AV110" s="23762">
        <f>IF(HLOOKUP("Apps",A1:CV300,110,FALSE)=0,0,HLOOKUP("Pts",A1:CV300,110,FALSE)/HLOOKUP("Apps",A1:CV300,110,FALSE)* 1)</f>
      </c>
      <c r="AW110" s="23763">
        <f>IF(HLOOKUP("Mins",A1:CV300,110,FALSE)=0,0,HLOOKUP("Gs",A1:CV300,110,FALSE)/HLOOKUP("Mins",A1:CV300,110,FALSE)* 90)</f>
      </c>
      <c r="AX110" s="23764">
        <f>IF(HLOOKUP("Mins",A1:CV300,110,FALSE)=0,0,HLOOKUP("Bonus",A1:CV300,110,FALSE)/HLOOKUP("Mins",A1:CV300,110,FALSE)* 90)</f>
      </c>
      <c r="AY110" s="23765">
        <f>IF(HLOOKUP("Mins",A1:CV300,110,FALSE)=0,0,HLOOKUP("BPS",A1:CV300,110,FALSE)/HLOOKUP("Mins",A1:CV300,110,FALSE)* 90)</f>
      </c>
      <c r="AZ110" s="23766">
        <f>IF(HLOOKUP("Mins",A1:CV300,110,FALSE)=0,0,HLOOKUP("Base BPS",A1:CV300,110,FALSE)/HLOOKUP("Mins",A1:CV300,110,FALSE)* 90)</f>
      </c>
      <c r="BA110" s="23767">
        <f>IF(HLOOKUP("Mins",A1:CV300,110,FALSE)=0,0,HLOOKUP("PenTchs",A1:CV300,110,FALSE)/HLOOKUP("Mins",A1:CV300,110,FALSE)* 90)</f>
      </c>
      <c r="BB110" s="23768">
        <f>IF(HLOOKUP("Mins",A1:CV300,110,FALSE)=0,0,HLOOKUP("Shots",A1:CV300,110,FALSE)/HLOOKUP("Mins",A1:CV300,110,FALSE)* 90)</f>
      </c>
      <c r="BC110" s="23769">
        <f>IF(HLOOKUP("Mins",A1:CV300,110,FALSE)=0,0,HLOOKUP("SIB",A1:CV300,110,FALSE)/HLOOKUP("Mins",A1:CV300,110,FALSE)* 90)</f>
      </c>
      <c r="BD110" s="23770">
        <f>IF(HLOOKUP("Mins",A1:CV300,110,FALSE)=0,0,HLOOKUP("S6YD",A1:CV300,110,FALSE)/HLOOKUP("Mins",A1:CV300,110,FALSE)* 90)</f>
      </c>
      <c r="BE110" s="23771">
        <f>IF(HLOOKUP("Mins",A1:CV300,110,FALSE)=0,0,HLOOKUP("Headers",A1:CV300,110,FALSE)/HLOOKUP("Mins",A1:CV300,110,FALSE)* 90)</f>
      </c>
      <c r="BF110" s="23772">
        <f>IF(HLOOKUP("Mins",A1:CV300,110,FALSE)=0,0,HLOOKUP("SOT",A1:CV300,110,FALSE)/HLOOKUP("Mins",A1:CV300,110,FALSE)* 90)</f>
      </c>
      <c r="BG110" s="23773">
        <f>IF(HLOOKUP("Mins",A1:CV300,110,FALSE)=0,0,HLOOKUP("As",A1:CV300,110,FALSE)/HLOOKUP("Mins",A1:CV300,110,FALSE)* 90)</f>
      </c>
      <c r="BH110" s="23774">
        <f>IF(HLOOKUP("Mins",A1:CV300,110,FALSE)=0,0,HLOOKUP("FPL As",A1:CV300,110,FALSE)/HLOOKUP("Mins",A1:CV300,110,FALSE)* 90)</f>
      </c>
      <c r="BI110" s="23775">
        <f>IF(HLOOKUP("Mins",A1:CV300,110,FALSE)=0,0,HLOOKUP("BC Created",A1:CV300,110,FALSE)/HLOOKUP("Mins",A1:CV300,110,FALSE)* 90)</f>
      </c>
      <c r="BJ110" s="23776">
        <f>IF(HLOOKUP("Mins",A1:CV300,110,FALSE)=0,0,HLOOKUP("KP",A1:CV300,110,FALSE)/HLOOKUP("Mins",A1:CV300,110,FALSE)* 90)</f>
      </c>
      <c r="BK110" s="23777">
        <f>IF(HLOOKUP("Mins",A1:CV300,110,FALSE)=0,0,HLOOKUP("BC",A1:CV300,110,FALSE)/HLOOKUP("Mins",A1:CV300,110,FALSE)* 90)</f>
      </c>
      <c r="BL110" s="23778">
        <f>IF(HLOOKUP("Mins",A1:CV300,110,FALSE)=0,0,HLOOKUP("BC Miss",A1:CV300,110,FALSE)/HLOOKUP("Mins",A1:CV300,110,FALSE)* 90)</f>
      </c>
      <c r="BM110" s="23779">
        <f>IF(HLOOKUP("Mins",A1:CV300,110,FALSE)=0,0,HLOOKUP("Gs - BC",A1:CV300,110,FALSE)/HLOOKUP("Mins",A1:CV300,110,FALSE)* 90)</f>
      </c>
      <c r="BN110" s="23780">
        <f>IF(HLOOKUP("Mins",A1:CV300,110,FALSE)=0,0,HLOOKUP("GIB",A1:CV300,110,FALSE)/HLOOKUP("Mins",A1:CV300,110,FALSE)* 90)</f>
      </c>
      <c r="BO110" s="23781">
        <f>IF(HLOOKUP("Mins",A1:CV300,110,FALSE)=0,0,HLOOKUP("Gs - Open",A1:CV300,110,FALSE)/HLOOKUP("Mins",A1:CV300,110,FALSE)* 90)</f>
      </c>
      <c r="BP110" s="23782">
        <f>IF(HLOOKUP("Mins",A1:CV300,110,FALSE)=0,0,HLOOKUP("ICT Index",A1:CV300,110,FALSE)/HLOOKUP("Mins",A1:CV300,110,FALSE)* 90)</f>
      </c>
      <c r="BQ110" s="23783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3784">
        <f>0.0885*HLOOKUP("KP/90",A1:CV300,110,FALSE)</f>
      </c>
      <c r="BS110" s="23785">
        <f>5*HLOOKUP("xG/90",A1:CV300,110,FALSE)+3*HLOOKUP("xA/90",A1:CV300,110,FALSE)</f>
      </c>
      <c r="BT110" s="23786">
        <f>HLOOKUP("xPts/90",A1:CV300,110,FALSE)-(5*0.75*(HLOOKUP("PK Gs",A1:CV300,110,FALSE)+HLOOKUP("PK Miss",A1:CV300,110,FALSE))*90/HLOOKUP("Mins",A1:CV300,110,FALSE))</f>
      </c>
      <c r="BU110" s="23787">
        <f>IF(HLOOKUP("Mins",A1:CV300,110,FALSE)=0,0,HLOOKUP("fsXG",A1:CV300,110,FALSE)/HLOOKUP("Mins",A1:CV300,110,FALSE)* 90)</f>
      </c>
      <c r="BV110" s="23788">
        <f>IF(HLOOKUP("Mins",A1:CV300,110,FALSE)=0,0,HLOOKUP("fsXA",A1:CV300,110,FALSE)/HLOOKUP("Mins",A1:CV300,110,FALSE)* 90)</f>
      </c>
      <c r="BW110" s="23789">
        <f>5*HLOOKUP("fsXG/90",A1:CV300,110,FALSE)+3*HLOOKUP("fsXA/90",A1:CV300,110,FALSE)</f>
      </c>
      <c r="BX110" t="n" s="23790">
        <v>0.045689281076192856</v>
      </c>
      <c r="BY110" t="n" s="23791">
        <v>0.18159137666225433</v>
      </c>
      <c r="BZ110" s="23792">
        <f>5*HLOOKUP("uXG/90",A1:CV300,110,FALSE)+3*HLOOKUP("uXA/90",A1:CV300,110,FALSE)</f>
      </c>
    </row>
    <row r="111">
      <c r="A111" t="s" s="23793">
        <v>402</v>
      </c>
      <c r="B111" t="s" s="23794">
        <v>112</v>
      </c>
      <c r="C111" t="n" s="23795">
        <v>6.900000095367432</v>
      </c>
      <c r="D111" t="n" s="23796">
        <v>215.0</v>
      </c>
      <c r="E111" t="n" s="23797">
        <v>3.0</v>
      </c>
      <c r="F111" t="n" s="23798">
        <v>26.0</v>
      </c>
      <c r="G111" t="n" s="23799">
        <v>0.0</v>
      </c>
      <c r="H111" t="n" s="23800">
        <v>0.0</v>
      </c>
      <c r="I111" t="n" s="23801">
        <v>66.0</v>
      </c>
      <c r="J111" s="23802">
        <f>HLOOKUP("BPS",A1:CV300,111,FALSE)-((-6*HLOOKUP("OG",A1:CV300,111,FALSE))+(-6*HLOOKUP("PK Miss",A1:CV300,111,FALSE))+(9*HLOOKUP("FPL As",A1:CV300,111,FALSE))+(0*HLOOKUP("CS",A1:CV300,111,FALSE))+(18*HLOOKUP("Gs",A1:CV300,111,FALSE)))</f>
      </c>
      <c r="K111" t="n" s="23803">
        <v>0.0</v>
      </c>
      <c r="L111" t="n" s="23804">
        <v>2.0</v>
      </c>
      <c r="M111" t="n" s="23805">
        <v>19.0</v>
      </c>
      <c r="N111" t="n" s="23806">
        <v>7.0</v>
      </c>
      <c r="O111" t="n" s="23807">
        <v>4.0</v>
      </c>
      <c r="P111" s="23808">
        <f>IF(HLOOKUP("Shots",A1:CV300,111,FALSE)=0,0,HLOOKUP("SIB",A1:CV300,111,FALSE)/HLOOKUP("Shots",A1:CV300,111,FALSE))</f>
      </c>
      <c r="Q111" t="n" s="23809">
        <v>0.0</v>
      </c>
      <c r="R111" s="23810">
        <f>IF(HLOOKUP("Shots",A1:CV300,111,FALSE)=0,0,HLOOKUP("S6YD",A1:CV300,111,FALSE)/HLOOKUP("Shots",A1:CV300,111,FALSE))</f>
      </c>
      <c r="S111" t="n" s="23811">
        <v>2.0</v>
      </c>
      <c r="T111" s="23812">
        <f>IF(HLOOKUP("Shots",A1:CV300,111,FALSE)=0,0,HLOOKUP("Headers",A1:CV300,111,FALSE)/HLOOKUP("Shots",A1:CV300,111,FALSE))</f>
      </c>
      <c r="U111" t="n" s="23813">
        <v>1.0</v>
      </c>
      <c r="V111" s="23814">
        <f>IF(HLOOKUP("Shots",A1:CV300,111,FALSE)=0,0,HLOOKUP("SOT",A1:CV300,111,FALSE)/HLOOKUP("Shots",A1:CV300,111,FALSE))</f>
      </c>
      <c r="W111" s="23815">
        <f>IF(HLOOKUP("Shots",A1:CV300,111,FALSE)=0,0,HLOOKUP("Gs",A1:CV300,111,FALSE)/HLOOKUP("Shots",A1:CV300,111,FALSE))</f>
      </c>
      <c r="X111" t="n" s="23816">
        <v>1.0</v>
      </c>
      <c r="Y111" t="n" s="23817">
        <v>2.0</v>
      </c>
      <c r="Z111" t="n" s="23818">
        <v>4.0</v>
      </c>
      <c r="AA111" s="23819">
        <f>IF(HLOOKUP("KP",A1:CV300,111,FALSE)=0,0,HLOOKUP("As",A1:CV300,111,FALSE)/HLOOKUP("KP",A1:CV300,111,FALSE))</f>
      </c>
      <c r="AB111" s="23820"/>
      <c r="AC111" t="n" s="23821">
        <v>50.0</v>
      </c>
      <c r="AD111" t="n" s="23822">
        <v>1.0</v>
      </c>
      <c r="AE111" t="n" s="23823">
        <v>0.0</v>
      </c>
      <c r="AF111" t="n" s="23824">
        <v>0.0</v>
      </c>
      <c r="AG111" s="23825">
        <f>IF(HLOOKUP("BC",A1:CV300,111,FALSE)=0,0,HLOOKUP("Gs - BC",A1:CV300,111,FALSE)/HLOOKUP("BC",A1:CV300,111,FALSE))</f>
      </c>
      <c r="AH111" s="23826">
        <f>HLOOKUP("BC",A1:CV300,111,FALSE) - HLOOKUP("BC Miss",A1:CV300,111,FALSE)</f>
      </c>
      <c r="AI111" s="23827">
        <f>IF(HLOOKUP("Gs",A1:CV300,111,FALSE)=0,0,HLOOKUP("Gs - BC",A1:CV300,111,FALSE)/HLOOKUP("Gs",A1:CV300,111,FALSE))</f>
      </c>
      <c r="AJ111" t="n" s="23828">
        <v>0.0</v>
      </c>
      <c r="AK111" t="n" s="23829">
        <v>0.0</v>
      </c>
      <c r="AL111" s="23830">
        <f>HLOOKUP("BC",A1:CV300,111,FALSE) - (HLOOKUP("PK Gs",A1:CV300,111,FALSE) + HLOOKUP("PK Miss",A1:CV300,111,FALSE))</f>
      </c>
      <c r="AM111" s="23831">
        <f>HLOOKUP("BC Miss",A1:CV300,111,FALSE) - HLOOKUP("PK Miss",A1:CV300,111,FALSE)</f>
      </c>
      <c r="AN111" s="23832">
        <f>IF(HLOOKUP("BC - Open",A1:CV300,111,FALSE)=0,0,HLOOKUP("BC - Open Miss",A1:CV300,111,FALSE)/HLOOKUP("BC - Open",A1:CV300,111,FALSE))</f>
      </c>
      <c r="AO111" t="n" s="23833">
        <v>0.0</v>
      </c>
      <c r="AP111" s="23834">
        <f>IF(HLOOKUP("Gs",A1:CV300,111,FALSE)=0,0,HLOOKUP("GIB",A1:CV300,111,FALSE)/HLOOKUP("Gs",A1:CV300,111,FALSE))</f>
      </c>
      <c r="AQ111" t="n" s="23835">
        <v>0.0</v>
      </c>
      <c r="AR111" s="23836">
        <f>IF(HLOOKUP("Gs",A1:CV300,111,FALSE)=0,0,HLOOKUP("Gs - Open",A1:CV300,111,FALSE)/HLOOKUP("Gs",A1:CV300,111,FALSE))</f>
      </c>
      <c r="AS111" t="n" s="23837">
        <v>0.39</v>
      </c>
      <c r="AT111" t="n" s="23838">
        <v>0.93</v>
      </c>
      <c r="AU111" s="23839">
        <f>IF(HLOOKUP("Mins",A1:CV300,111,FALSE)=0,0,HLOOKUP("Pts",A1:CV300,111,FALSE)/HLOOKUP("Mins",A1:CV300,111,FALSE)* 90)</f>
      </c>
      <c r="AV111" s="23840">
        <f>IF(HLOOKUP("Apps",A1:CV300,111,FALSE)=0,0,HLOOKUP("Pts",A1:CV300,111,FALSE)/HLOOKUP("Apps",A1:CV300,111,FALSE)* 1)</f>
      </c>
      <c r="AW111" s="23841">
        <f>IF(HLOOKUP("Mins",A1:CV300,111,FALSE)=0,0,HLOOKUP("Gs",A1:CV300,111,FALSE)/HLOOKUP("Mins",A1:CV300,111,FALSE)* 90)</f>
      </c>
      <c r="AX111" s="23842">
        <f>IF(HLOOKUP("Mins",A1:CV300,111,FALSE)=0,0,HLOOKUP("Bonus",A1:CV300,111,FALSE)/HLOOKUP("Mins",A1:CV300,111,FALSE)* 90)</f>
      </c>
      <c r="AY111" s="23843">
        <f>IF(HLOOKUP("Mins",A1:CV300,111,FALSE)=0,0,HLOOKUP("BPS",A1:CV300,111,FALSE)/HLOOKUP("Mins",A1:CV300,111,FALSE)* 90)</f>
      </c>
      <c r="AZ111" s="23844">
        <f>IF(HLOOKUP("Mins",A1:CV300,111,FALSE)=0,0,HLOOKUP("Base BPS",A1:CV300,111,FALSE)/HLOOKUP("Mins",A1:CV300,111,FALSE)* 90)</f>
      </c>
      <c r="BA111" s="23845">
        <f>IF(HLOOKUP("Mins",A1:CV300,111,FALSE)=0,0,HLOOKUP("PenTchs",A1:CV300,111,FALSE)/HLOOKUP("Mins",A1:CV300,111,FALSE)* 90)</f>
      </c>
      <c r="BB111" s="23846">
        <f>IF(HLOOKUP("Mins",A1:CV300,111,FALSE)=0,0,HLOOKUP("Shots",A1:CV300,111,FALSE)/HLOOKUP("Mins",A1:CV300,111,FALSE)* 90)</f>
      </c>
      <c r="BC111" s="23847">
        <f>IF(HLOOKUP("Mins",A1:CV300,111,FALSE)=0,0,HLOOKUP("SIB",A1:CV300,111,FALSE)/HLOOKUP("Mins",A1:CV300,111,FALSE)* 90)</f>
      </c>
      <c r="BD111" s="23848">
        <f>IF(HLOOKUP("Mins",A1:CV300,111,FALSE)=0,0,HLOOKUP("S6YD",A1:CV300,111,FALSE)/HLOOKUP("Mins",A1:CV300,111,FALSE)* 90)</f>
      </c>
      <c r="BE111" s="23849">
        <f>IF(HLOOKUP("Mins",A1:CV300,111,FALSE)=0,0,HLOOKUP("Headers",A1:CV300,111,FALSE)/HLOOKUP("Mins",A1:CV300,111,FALSE)* 90)</f>
      </c>
      <c r="BF111" s="23850">
        <f>IF(HLOOKUP("Mins",A1:CV300,111,FALSE)=0,0,HLOOKUP("SOT",A1:CV300,111,FALSE)/HLOOKUP("Mins",A1:CV300,111,FALSE)* 90)</f>
      </c>
      <c r="BG111" s="23851">
        <f>IF(HLOOKUP("Mins",A1:CV300,111,FALSE)=0,0,HLOOKUP("As",A1:CV300,111,FALSE)/HLOOKUP("Mins",A1:CV300,111,FALSE)* 90)</f>
      </c>
      <c r="BH111" s="23852">
        <f>IF(HLOOKUP("Mins",A1:CV300,111,FALSE)=0,0,HLOOKUP("FPL As",A1:CV300,111,FALSE)/HLOOKUP("Mins",A1:CV300,111,FALSE)* 90)</f>
      </c>
      <c r="BI111" s="23853">
        <f>IF(HLOOKUP("Mins",A1:CV300,111,FALSE)=0,0,HLOOKUP("BC Created",A1:CV300,111,FALSE)/HLOOKUP("Mins",A1:CV300,111,FALSE)* 90)</f>
      </c>
      <c r="BJ111" s="23854">
        <f>IF(HLOOKUP("Mins",A1:CV300,111,FALSE)=0,0,HLOOKUP("KP",A1:CV300,111,FALSE)/HLOOKUP("Mins",A1:CV300,111,FALSE)* 90)</f>
      </c>
      <c r="BK111" s="23855">
        <f>IF(HLOOKUP("Mins",A1:CV300,111,FALSE)=0,0,HLOOKUP("BC",A1:CV300,111,FALSE)/HLOOKUP("Mins",A1:CV300,111,FALSE)* 90)</f>
      </c>
      <c r="BL111" s="23856">
        <f>IF(HLOOKUP("Mins",A1:CV300,111,FALSE)=0,0,HLOOKUP("BC Miss",A1:CV300,111,FALSE)/HLOOKUP("Mins",A1:CV300,111,FALSE)* 90)</f>
      </c>
      <c r="BM111" s="23857">
        <f>IF(HLOOKUP("Mins",A1:CV300,111,FALSE)=0,0,HLOOKUP("Gs - BC",A1:CV300,111,FALSE)/HLOOKUP("Mins",A1:CV300,111,FALSE)* 90)</f>
      </c>
      <c r="BN111" s="23858">
        <f>IF(HLOOKUP("Mins",A1:CV300,111,FALSE)=0,0,HLOOKUP("GIB",A1:CV300,111,FALSE)/HLOOKUP("Mins",A1:CV300,111,FALSE)* 90)</f>
      </c>
      <c r="BO111" s="23859">
        <f>IF(HLOOKUP("Mins",A1:CV300,111,FALSE)=0,0,HLOOKUP("Gs - Open",A1:CV300,111,FALSE)/HLOOKUP("Mins",A1:CV300,111,FALSE)* 90)</f>
      </c>
      <c r="BP111" s="23860">
        <f>IF(HLOOKUP("Mins",A1:CV300,111,FALSE)=0,0,HLOOKUP("ICT Index",A1:CV300,111,FALSE)/HLOOKUP("Mins",A1:CV300,111,FALSE)* 90)</f>
      </c>
      <c r="BQ111" s="23861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</c>
      <c r="BR111" s="23862">
        <f>0.0885*HLOOKUP("KP/90",A1:CV300,111,FALSE)</f>
      </c>
      <c r="BS111" s="23863">
        <f>5*HLOOKUP("xG/90",A1:CV300,111,FALSE)+3*HLOOKUP("xA/90",A1:CV300,111,FALSE)</f>
      </c>
      <c r="BT111" s="23864">
        <f>HLOOKUP("xPts/90",A1:CV300,111,FALSE)-(5*0.75*(HLOOKUP("PK Gs",A1:CV300,111,FALSE)+HLOOKUP("PK Miss",A1:CV300,111,FALSE))*90/HLOOKUP("Mins",A1:CV300,111,FALSE))</f>
      </c>
      <c r="BU111" s="23865">
        <f>IF(HLOOKUP("Mins",A1:CV300,111,FALSE)=0,0,HLOOKUP("fsXG",A1:CV300,111,FALSE)/HLOOKUP("Mins",A1:CV300,111,FALSE)* 90)</f>
      </c>
      <c r="BV111" s="23866">
        <f>IF(HLOOKUP("Mins",A1:CV300,111,FALSE)=0,0,HLOOKUP("fsXA",A1:CV300,111,FALSE)/HLOOKUP("Mins",A1:CV300,111,FALSE)* 90)</f>
      </c>
      <c r="BW111" s="23867">
        <f>5*HLOOKUP("fsXG/90",A1:CV300,111,FALSE)+3*HLOOKUP("fsXA/90",A1:CV300,111,FALSE)</f>
      </c>
      <c r="BX111" t="n" s="23868">
        <v>0.16463010013103485</v>
      </c>
      <c r="BY111" t="n" s="23869">
        <v>0.2760356664657593</v>
      </c>
      <c r="BZ111" s="23870">
        <f>5*HLOOKUP("uXG/90",A1:CV300,111,FALSE)+3*HLOOKUP("uXA/90",A1:CV300,111,FALSE)</f>
      </c>
    </row>
    <row r="112">
      <c r="A112" t="s" s="23871">
        <v>403</v>
      </c>
      <c r="B112" t="s" s="23872">
        <v>107</v>
      </c>
      <c r="C112" t="n" s="23873">
        <v>4.900000095367432</v>
      </c>
      <c r="D112" t="n" s="23874">
        <v>386.0</v>
      </c>
      <c r="E112" t="n" s="23875">
        <v>6.0</v>
      </c>
      <c r="F112" t="n" s="23876">
        <v>58.0</v>
      </c>
      <c r="G112" t="n" s="23877">
        <v>1.0</v>
      </c>
      <c r="H112" t="n" s="23878">
        <v>4.0</v>
      </c>
      <c r="I112" t="n" s="23879">
        <v>194.0</v>
      </c>
      <c r="J112" s="23880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3881">
        <v>0.0</v>
      </c>
      <c r="L112" t="n" s="23882">
        <v>6.0</v>
      </c>
      <c r="M112" t="n" s="23883">
        <v>12.0</v>
      </c>
      <c r="N112" t="n" s="23884">
        <v>5.0</v>
      </c>
      <c r="O112" t="n" s="23885">
        <v>5.0</v>
      </c>
      <c r="P112" s="23886">
        <f>IF(HLOOKUP("Shots",A1:CV300,112,FALSE)=0,0,HLOOKUP("SIB",A1:CV300,112,FALSE)/HLOOKUP("Shots",A1:CV300,112,FALSE))</f>
      </c>
      <c r="Q112" t="n" s="23887">
        <v>1.0</v>
      </c>
      <c r="R112" s="23888">
        <f>IF(HLOOKUP("Shots",A1:CV300,112,FALSE)=0,0,HLOOKUP("S6YD",A1:CV300,112,FALSE)/HLOOKUP("Shots",A1:CV300,112,FALSE))</f>
      </c>
      <c r="S112" t="n" s="23889">
        <v>2.0</v>
      </c>
      <c r="T112" s="23890">
        <f>IF(HLOOKUP("Shots",A1:CV300,112,FALSE)=0,0,HLOOKUP("Headers",A1:CV300,112,FALSE)/HLOOKUP("Shots",A1:CV300,112,FALSE))</f>
      </c>
      <c r="U112" t="n" s="23891">
        <v>2.0</v>
      </c>
      <c r="V112" s="23892">
        <f>IF(HLOOKUP("Shots",A1:CV300,112,FALSE)=0,0,HLOOKUP("SOT",A1:CV300,112,FALSE)/HLOOKUP("Shots",A1:CV300,112,FALSE))</f>
      </c>
      <c r="W112" s="23893">
        <f>IF(HLOOKUP("Shots",A1:CV300,112,FALSE)=0,0,HLOOKUP("Gs",A1:CV300,112,FALSE)/HLOOKUP("Shots",A1:CV300,112,FALSE))</f>
      </c>
      <c r="X112" t="n" s="23894">
        <v>1.0</v>
      </c>
      <c r="Y112" t="n" s="23895">
        <v>2.0</v>
      </c>
      <c r="Z112" t="n" s="23896">
        <v>1.0</v>
      </c>
      <c r="AA112" s="23897">
        <f>IF(HLOOKUP("KP",A1:CV300,112,FALSE)=0,0,HLOOKUP("As",A1:CV300,112,FALSE)/HLOOKUP("KP",A1:CV300,112,FALSE))</f>
      </c>
      <c r="AB112" s="23898"/>
      <c r="AC112" t="n" s="23899">
        <v>67.0</v>
      </c>
      <c r="AD112" t="n" s="23900">
        <v>0.0</v>
      </c>
      <c r="AE112" t="n" s="23901">
        <v>1.0</v>
      </c>
      <c r="AF112" t="n" s="23902">
        <v>0.0</v>
      </c>
      <c r="AG112" s="23903">
        <f>IF(HLOOKUP("BC",A1:CV300,112,FALSE)=0,0,HLOOKUP("Gs - BC",A1:CV300,112,FALSE)/HLOOKUP("BC",A1:CV300,112,FALSE))</f>
      </c>
      <c r="AH112" s="23904">
        <f>HLOOKUP("BC",A1:CV300,112,FALSE) - HLOOKUP("BC Miss",A1:CV300,112,FALSE)</f>
      </c>
      <c r="AI112" s="23905">
        <f>IF(HLOOKUP("Gs",A1:CV300,112,FALSE)=0,0,HLOOKUP("Gs - BC",A1:CV300,112,FALSE)/HLOOKUP("Gs",A1:CV300,112,FALSE))</f>
      </c>
      <c r="AJ112" t="n" s="23906">
        <v>0.0</v>
      </c>
      <c r="AK112" t="n" s="23907">
        <v>0.0</v>
      </c>
      <c r="AL112" s="23908">
        <f>HLOOKUP("BC",A1:CV300,112,FALSE) - (HLOOKUP("PK Gs",A1:CV300,112,FALSE) + HLOOKUP("PK Miss",A1:CV300,112,FALSE))</f>
      </c>
      <c r="AM112" s="23909">
        <f>HLOOKUP("BC Miss",A1:CV300,112,FALSE) - HLOOKUP("PK Miss",A1:CV300,112,FALSE)</f>
      </c>
      <c r="AN112" s="23910">
        <f>IF(HLOOKUP("BC - Open",A1:CV300,112,FALSE)=0,0,HLOOKUP("BC - Open Miss",A1:CV300,112,FALSE)/HLOOKUP("BC - Open",A1:CV300,112,FALSE))</f>
      </c>
      <c r="AO112" t="n" s="23911">
        <v>1.0</v>
      </c>
      <c r="AP112" s="23912">
        <f>IF(HLOOKUP("Gs",A1:CV300,112,FALSE)=0,0,HLOOKUP("GIB",A1:CV300,112,FALSE)/HLOOKUP("Gs",A1:CV300,112,FALSE))</f>
      </c>
      <c r="AQ112" t="n" s="23913">
        <v>1.0</v>
      </c>
      <c r="AR112" s="23914">
        <f>IF(HLOOKUP("Gs",A1:CV300,112,FALSE)=0,0,HLOOKUP("Gs - Open",A1:CV300,112,FALSE)/HLOOKUP("Gs",A1:CV300,112,FALSE))</f>
      </c>
      <c r="AS112" t="n" s="23915">
        <v>0.87</v>
      </c>
      <c r="AT112" t="n" s="23916">
        <v>0.11</v>
      </c>
      <c r="AU112" s="23917">
        <f>IF(HLOOKUP("Mins",A1:CV300,112,FALSE)=0,0,HLOOKUP("Pts",A1:CV300,112,FALSE)/HLOOKUP("Mins",A1:CV300,112,FALSE)* 90)</f>
      </c>
      <c r="AV112" s="23918">
        <f>IF(HLOOKUP("Apps",A1:CV300,112,FALSE)=0,0,HLOOKUP("Pts",A1:CV300,112,FALSE)/HLOOKUP("Apps",A1:CV300,112,FALSE)* 1)</f>
      </c>
      <c r="AW112" s="23919">
        <f>IF(HLOOKUP("Mins",A1:CV300,112,FALSE)=0,0,HLOOKUP("Gs",A1:CV300,112,FALSE)/HLOOKUP("Mins",A1:CV300,112,FALSE)* 90)</f>
      </c>
      <c r="AX112" s="23920">
        <f>IF(HLOOKUP("Mins",A1:CV300,112,FALSE)=0,0,HLOOKUP("Bonus",A1:CV300,112,FALSE)/HLOOKUP("Mins",A1:CV300,112,FALSE)* 90)</f>
      </c>
      <c r="AY112" s="23921">
        <f>IF(HLOOKUP("Mins",A1:CV300,112,FALSE)=0,0,HLOOKUP("BPS",A1:CV300,112,FALSE)/HLOOKUP("Mins",A1:CV300,112,FALSE)* 90)</f>
      </c>
      <c r="AZ112" s="23922">
        <f>IF(HLOOKUP("Mins",A1:CV300,112,FALSE)=0,0,HLOOKUP("Base BPS",A1:CV300,112,FALSE)/HLOOKUP("Mins",A1:CV300,112,FALSE)* 90)</f>
      </c>
      <c r="BA112" s="23923">
        <f>IF(HLOOKUP("Mins",A1:CV300,112,FALSE)=0,0,HLOOKUP("PenTchs",A1:CV300,112,FALSE)/HLOOKUP("Mins",A1:CV300,112,FALSE)* 90)</f>
      </c>
      <c r="BB112" s="23924">
        <f>IF(HLOOKUP("Mins",A1:CV300,112,FALSE)=0,0,HLOOKUP("Shots",A1:CV300,112,FALSE)/HLOOKUP("Mins",A1:CV300,112,FALSE)* 90)</f>
      </c>
      <c r="BC112" s="23925">
        <f>IF(HLOOKUP("Mins",A1:CV300,112,FALSE)=0,0,HLOOKUP("SIB",A1:CV300,112,FALSE)/HLOOKUP("Mins",A1:CV300,112,FALSE)* 90)</f>
      </c>
      <c r="BD112" s="23926">
        <f>IF(HLOOKUP("Mins",A1:CV300,112,FALSE)=0,0,HLOOKUP("S6YD",A1:CV300,112,FALSE)/HLOOKUP("Mins",A1:CV300,112,FALSE)* 90)</f>
      </c>
      <c r="BE112" s="23927">
        <f>IF(HLOOKUP("Mins",A1:CV300,112,FALSE)=0,0,HLOOKUP("Headers",A1:CV300,112,FALSE)/HLOOKUP("Mins",A1:CV300,112,FALSE)* 90)</f>
      </c>
      <c r="BF112" s="23928">
        <f>IF(HLOOKUP("Mins",A1:CV300,112,FALSE)=0,0,HLOOKUP("SOT",A1:CV300,112,FALSE)/HLOOKUP("Mins",A1:CV300,112,FALSE)* 90)</f>
      </c>
      <c r="BG112" s="23929">
        <f>IF(HLOOKUP("Mins",A1:CV300,112,FALSE)=0,0,HLOOKUP("As",A1:CV300,112,FALSE)/HLOOKUP("Mins",A1:CV300,112,FALSE)* 90)</f>
      </c>
      <c r="BH112" s="23930">
        <f>IF(HLOOKUP("Mins",A1:CV300,112,FALSE)=0,0,HLOOKUP("FPL As",A1:CV300,112,FALSE)/HLOOKUP("Mins",A1:CV300,112,FALSE)* 90)</f>
      </c>
      <c r="BI112" s="23931">
        <f>IF(HLOOKUP("Mins",A1:CV300,112,FALSE)=0,0,HLOOKUP("BC Created",A1:CV300,112,FALSE)/HLOOKUP("Mins",A1:CV300,112,FALSE)* 90)</f>
      </c>
      <c r="BJ112" s="23932">
        <f>IF(HLOOKUP("Mins",A1:CV300,112,FALSE)=0,0,HLOOKUP("KP",A1:CV300,112,FALSE)/HLOOKUP("Mins",A1:CV300,112,FALSE)* 90)</f>
      </c>
      <c r="BK112" s="23933">
        <f>IF(HLOOKUP("Mins",A1:CV300,112,FALSE)=0,0,HLOOKUP("BC",A1:CV300,112,FALSE)/HLOOKUP("Mins",A1:CV300,112,FALSE)* 90)</f>
      </c>
      <c r="BL112" s="23934">
        <f>IF(HLOOKUP("Mins",A1:CV300,112,FALSE)=0,0,HLOOKUP("BC Miss",A1:CV300,112,FALSE)/HLOOKUP("Mins",A1:CV300,112,FALSE)* 90)</f>
      </c>
      <c r="BM112" s="23935">
        <f>IF(HLOOKUP("Mins",A1:CV300,112,FALSE)=0,0,HLOOKUP("Gs - BC",A1:CV300,112,FALSE)/HLOOKUP("Mins",A1:CV300,112,FALSE)* 90)</f>
      </c>
      <c r="BN112" s="23936">
        <f>IF(HLOOKUP("Mins",A1:CV300,112,FALSE)=0,0,HLOOKUP("GIB",A1:CV300,112,FALSE)/HLOOKUP("Mins",A1:CV300,112,FALSE)* 90)</f>
      </c>
      <c r="BO112" s="23937">
        <f>IF(HLOOKUP("Mins",A1:CV300,112,FALSE)=0,0,HLOOKUP("Gs - Open",A1:CV300,112,FALSE)/HLOOKUP("Mins",A1:CV300,112,FALSE)* 90)</f>
      </c>
      <c r="BP112" s="23938">
        <f>IF(HLOOKUP("Mins",A1:CV300,112,FALSE)=0,0,HLOOKUP("ICT Index",A1:CV300,112,FALSE)/HLOOKUP("Mins",A1:CV300,112,FALSE)* 90)</f>
      </c>
      <c r="BQ112" s="23939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3940">
        <f>0.0885*HLOOKUP("KP/90",A1:CV300,112,FALSE)</f>
      </c>
      <c r="BS112" s="23941">
        <f>5*HLOOKUP("xG/90",A1:CV300,112,FALSE)+3*HLOOKUP("xA/90",A1:CV300,112,FALSE)</f>
      </c>
      <c r="BT112" s="23942">
        <f>HLOOKUP("xPts/90",A1:CV300,112,FALSE)-(5*0.75*(HLOOKUP("PK Gs",A1:CV300,112,FALSE)+HLOOKUP("PK Miss",A1:CV300,112,FALSE))*90/HLOOKUP("Mins",A1:CV300,112,FALSE))</f>
      </c>
      <c r="BU112" s="23943">
        <f>IF(HLOOKUP("Mins",A1:CV300,112,FALSE)=0,0,HLOOKUP("fsXG",A1:CV300,112,FALSE)/HLOOKUP("Mins",A1:CV300,112,FALSE)* 90)</f>
      </c>
      <c r="BV112" s="23944">
        <f>IF(HLOOKUP("Mins",A1:CV300,112,FALSE)=0,0,HLOOKUP("fsXA",A1:CV300,112,FALSE)/HLOOKUP("Mins",A1:CV300,112,FALSE)* 90)</f>
      </c>
      <c r="BW112" s="23945">
        <f>5*HLOOKUP("fsXG/90",A1:CV300,112,FALSE)+3*HLOOKUP("fsXA/90",A1:CV300,112,FALSE)</f>
      </c>
      <c r="BX112" t="n" s="23946">
        <v>0.1524592787027359</v>
      </c>
      <c r="BY112" t="n" s="23947">
        <v>0.02092832699418068</v>
      </c>
      <c r="BZ112" s="23948">
        <f>5*HLOOKUP("uXG/90",A1:CV300,112,FALSE)+3*HLOOKUP("uXA/90",A1:CV300,112,FALSE)</f>
      </c>
    </row>
    <row r="113">
      <c r="A113" t="s" s="23949">
        <v>404</v>
      </c>
      <c r="B113" t="s" s="23950">
        <v>105</v>
      </c>
      <c r="C113" t="n" s="23951">
        <v>5.099999904632568</v>
      </c>
      <c r="D113" t="n" s="23952">
        <v>176.0</v>
      </c>
      <c r="E113" t="n" s="23953">
        <v>5.0</v>
      </c>
      <c r="F113" t="n" s="23954">
        <v>16.0</v>
      </c>
      <c r="G113" t="n" s="23955">
        <v>0.0</v>
      </c>
      <c r="H113" t="n" s="23956">
        <v>0.0</v>
      </c>
      <c r="I113" t="n" s="23957">
        <v>67.0</v>
      </c>
      <c r="J113" s="23958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3959">
        <v>0.0</v>
      </c>
      <c r="L113" t="n" s="23960">
        <v>0.0</v>
      </c>
      <c r="M113" t="n" s="23961">
        <v>9.0</v>
      </c>
      <c r="N113" t="n" s="23962">
        <v>4.0</v>
      </c>
      <c r="O113" t="n" s="23963">
        <v>2.0</v>
      </c>
      <c r="P113" s="23964">
        <f>IF(HLOOKUP("Shots",A1:CV300,113,FALSE)=0,0,HLOOKUP("SIB",A1:CV300,113,FALSE)/HLOOKUP("Shots",A1:CV300,113,FALSE))</f>
      </c>
      <c r="Q113" t="n" s="23965">
        <v>0.0</v>
      </c>
      <c r="R113" s="23966">
        <f>IF(HLOOKUP("Shots",A1:CV300,113,FALSE)=0,0,HLOOKUP("S6YD",A1:CV300,113,FALSE)/HLOOKUP("Shots",A1:CV300,113,FALSE))</f>
      </c>
      <c r="S113" t="n" s="23967">
        <v>1.0</v>
      </c>
      <c r="T113" s="23968">
        <f>IF(HLOOKUP("Shots",A1:CV300,113,FALSE)=0,0,HLOOKUP("Headers",A1:CV300,113,FALSE)/HLOOKUP("Shots",A1:CV300,113,FALSE))</f>
      </c>
      <c r="U113" t="n" s="23969">
        <v>2.0</v>
      </c>
      <c r="V113" s="23970">
        <f>IF(HLOOKUP("Shots",A1:CV300,113,FALSE)=0,0,HLOOKUP("SOT",A1:CV300,113,FALSE)/HLOOKUP("Shots",A1:CV300,113,FALSE))</f>
      </c>
      <c r="W113" s="23971">
        <f>IF(HLOOKUP("Shots",A1:CV300,113,FALSE)=0,0,HLOOKUP("Gs",A1:CV300,113,FALSE)/HLOOKUP("Shots",A1:CV300,113,FALSE))</f>
      </c>
      <c r="X113" t="n" s="23972">
        <v>1.0</v>
      </c>
      <c r="Y113" t="n" s="23973">
        <v>1.0</v>
      </c>
      <c r="Z113" t="n" s="23974">
        <v>5.0</v>
      </c>
      <c r="AA113" s="23975">
        <f>IF(HLOOKUP("KP",A1:CV300,113,FALSE)=0,0,HLOOKUP("As",A1:CV300,113,FALSE)/HLOOKUP("KP",A1:CV300,113,FALSE))</f>
      </c>
      <c r="AB113" s="23976"/>
      <c r="AC113" t="n" s="23977">
        <v>14.0</v>
      </c>
      <c r="AD113" t="n" s="23978">
        <v>0.0</v>
      </c>
      <c r="AE113" t="n" s="23979">
        <v>0.0</v>
      </c>
      <c r="AF113" t="n" s="23980">
        <v>0.0</v>
      </c>
      <c r="AG113" s="23981">
        <f>IF(HLOOKUP("BC",A1:CV300,113,FALSE)=0,0,HLOOKUP("Gs - BC",A1:CV300,113,FALSE)/HLOOKUP("BC",A1:CV300,113,FALSE))</f>
      </c>
      <c r="AH113" s="23982">
        <f>HLOOKUP("BC",A1:CV300,113,FALSE) - HLOOKUP("BC Miss",A1:CV300,113,FALSE)</f>
      </c>
      <c r="AI113" s="23983">
        <f>IF(HLOOKUP("Gs",A1:CV300,113,FALSE)=0,0,HLOOKUP("Gs - BC",A1:CV300,113,FALSE)/HLOOKUP("Gs",A1:CV300,113,FALSE))</f>
      </c>
      <c r="AJ113" t="n" s="23984">
        <v>0.0</v>
      </c>
      <c r="AK113" t="n" s="23985">
        <v>0.0</v>
      </c>
      <c r="AL113" s="23986">
        <f>HLOOKUP("BC",A1:CV300,113,FALSE) - (HLOOKUP("PK Gs",A1:CV300,113,FALSE) + HLOOKUP("PK Miss",A1:CV300,113,FALSE))</f>
      </c>
      <c r="AM113" s="23987">
        <f>HLOOKUP("BC Miss",A1:CV300,113,FALSE) - HLOOKUP("PK Miss",A1:CV300,113,FALSE)</f>
      </c>
      <c r="AN113" s="23988">
        <f>IF(HLOOKUP("BC - Open",A1:CV300,113,FALSE)=0,0,HLOOKUP("BC - Open Miss",A1:CV300,113,FALSE)/HLOOKUP("BC - Open",A1:CV300,113,FALSE))</f>
      </c>
      <c r="AO113" t="n" s="23989">
        <v>0.0</v>
      </c>
      <c r="AP113" s="23990">
        <f>IF(HLOOKUP("Gs",A1:CV300,113,FALSE)=0,0,HLOOKUP("GIB",A1:CV300,113,FALSE)/HLOOKUP("Gs",A1:CV300,113,FALSE))</f>
      </c>
      <c r="AQ113" t="n" s="23991">
        <v>0.0</v>
      </c>
      <c r="AR113" s="23992">
        <f>IF(HLOOKUP("Gs",A1:CV300,113,FALSE)=0,0,HLOOKUP("Gs - Open",A1:CV300,113,FALSE)/HLOOKUP("Gs",A1:CV300,113,FALSE))</f>
      </c>
      <c r="AS113" t="n" s="23993">
        <v>0.16</v>
      </c>
      <c r="AT113" t="n" s="23994">
        <v>0.2</v>
      </c>
      <c r="AU113" s="23995">
        <f>IF(HLOOKUP("Mins",A1:CV300,113,FALSE)=0,0,HLOOKUP("Pts",A1:CV300,113,FALSE)/HLOOKUP("Mins",A1:CV300,113,FALSE)* 90)</f>
      </c>
      <c r="AV113" s="23996">
        <f>IF(HLOOKUP("Apps",A1:CV300,113,FALSE)=0,0,HLOOKUP("Pts",A1:CV300,113,FALSE)/HLOOKUP("Apps",A1:CV300,113,FALSE)* 1)</f>
      </c>
      <c r="AW113" s="23997">
        <f>IF(HLOOKUP("Mins",A1:CV300,113,FALSE)=0,0,HLOOKUP("Gs",A1:CV300,113,FALSE)/HLOOKUP("Mins",A1:CV300,113,FALSE)* 90)</f>
      </c>
      <c r="AX113" s="23998">
        <f>IF(HLOOKUP("Mins",A1:CV300,113,FALSE)=0,0,HLOOKUP("Bonus",A1:CV300,113,FALSE)/HLOOKUP("Mins",A1:CV300,113,FALSE)* 90)</f>
      </c>
      <c r="AY113" s="23999">
        <f>IF(HLOOKUP("Mins",A1:CV300,113,FALSE)=0,0,HLOOKUP("BPS",A1:CV300,113,FALSE)/HLOOKUP("Mins",A1:CV300,113,FALSE)* 90)</f>
      </c>
      <c r="AZ113" s="24000">
        <f>IF(HLOOKUP("Mins",A1:CV300,113,FALSE)=0,0,HLOOKUP("Base BPS",A1:CV300,113,FALSE)/HLOOKUP("Mins",A1:CV300,113,FALSE)* 90)</f>
      </c>
      <c r="BA113" s="24001">
        <f>IF(HLOOKUP("Mins",A1:CV300,113,FALSE)=0,0,HLOOKUP("PenTchs",A1:CV300,113,FALSE)/HLOOKUP("Mins",A1:CV300,113,FALSE)* 90)</f>
      </c>
      <c r="BB113" s="24002">
        <f>IF(HLOOKUP("Mins",A1:CV300,113,FALSE)=0,0,HLOOKUP("Shots",A1:CV300,113,FALSE)/HLOOKUP("Mins",A1:CV300,113,FALSE)* 90)</f>
      </c>
      <c r="BC113" s="24003">
        <f>IF(HLOOKUP("Mins",A1:CV300,113,FALSE)=0,0,HLOOKUP("SIB",A1:CV300,113,FALSE)/HLOOKUP("Mins",A1:CV300,113,FALSE)* 90)</f>
      </c>
      <c r="BD113" s="24004">
        <f>IF(HLOOKUP("Mins",A1:CV300,113,FALSE)=0,0,HLOOKUP("S6YD",A1:CV300,113,FALSE)/HLOOKUP("Mins",A1:CV300,113,FALSE)* 90)</f>
      </c>
      <c r="BE113" s="24005">
        <f>IF(HLOOKUP("Mins",A1:CV300,113,FALSE)=0,0,HLOOKUP("Headers",A1:CV300,113,FALSE)/HLOOKUP("Mins",A1:CV300,113,FALSE)* 90)</f>
      </c>
      <c r="BF113" s="24006">
        <f>IF(HLOOKUP("Mins",A1:CV300,113,FALSE)=0,0,HLOOKUP("SOT",A1:CV300,113,FALSE)/HLOOKUP("Mins",A1:CV300,113,FALSE)* 90)</f>
      </c>
      <c r="BG113" s="24007">
        <f>IF(HLOOKUP("Mins",A1:CV300,113,FALSE)=0,0,HLOOKUP("As",A1:CV300,113,FALSE)/HLOOKUP("Mins",A1:CV300,113,FALSE)* 90)</f>
      </c>
      <c r="BH113" s="24008">
        <f>IF(HLOOKUP("Mins",A1:CV300,113,FALSE)=0,0,HLOOKUP("FPL As",A1:CV300,113,FALSE)/HLOOKUP("Mins",A1:CV300,113,FALSE)* 90)</f>
      </c>
      <c r="BI113" s="24009">
        <f>IF(HLOOKUP("Mins",A1:CV300,113,FALSE)=0,0,HLOOKUP("BC Created",A1:CV300,113,FALSE)/HLOOKUP("Mins",A1:CV300,113,FALSE)* 90)</f>
      </c>
      <c r="BJ113" s="24010">
        <f>IF(HLOOKUP("Mins",A1:CV300,113,FALSE)=0,0,HLOOKUP("KP",A1:CV300,113,FALSE)/HLOOKUP("Mins",A1:CV300,113,FALSE)* 90)</f>
      </c>
      <c r="BK113" s="24011">
        <f>IF(HLOOKUP("Mins",A1:CV300,113,FALSE)=0,0,HLOOKUP("BC",A1:CV300,113,FALSE)/HLOOKUP("Mins",A1:CV300,113,FALSE)* 90)</f>
      </c>
      <c r="BL113" s="24012">
        <f>IF(HLOOKUP("Mins",A1:CV300,113,FALSE)=0,0,HLOOKUP("BC Miss",A1:CV300,113,FALSE)/HLOOKUP("Mins",A1:CV300,113,FALSE)* 90)</f>
      </c>
      <c r="BM113" s="24013">
        <f>IF(HLOOKUP("Mins",A1:CV300,113,FALSE)=0,0,HLOOKUP("Gs - BC",A1:CV300,113,FALSE)/HLOOKUP("Mins",A1:CV300,113,FALSE)* 90)</f>
      </c>
      <c r="BN113" s="24014">
        <f>IF(HLOOKUP("Mins",A1:CV300,113,FALSE)=0,0,HLOOKUP("GIB",A1:CV300,113,FALSE)/HLOOKUP("Mins",A1:CV300,113,FALSE)* 90)</f>
      </c>
      <c r="BO113" s="24015">
        <f>IF(HLOOKUP("Mins",A1:CV300,113,FALSE)=0,0,HLOOKUP("Gs - Open",A1:CV300,113,FALSE)/HLOOKUP("Mins",A1:CV300,113,FALSE)* 90)</f>
      </c>
      <c r="BP113" s="24016">
        <f>IF(HLOOKUP("Mins",A1:CV300,113,FALSE)=0,0,HLOOKUP("ICT Index",A1:CV300,113,FALSE)/HLOOKUP("Mins",A1:CV300,113,FALSE)* 90)</f>
      </c>
      <c r="BQ113" s="24017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4018">
        <f>0.0885*HLOOKUP("KP/90",A1:CV300,113,FALSE)</f>
      </c>
      <c r="BS113" s="24019">
        <f>5*HLOOKUP("xG/90",A1:CV300,113,FALSE)+3*HLOOKUP("xA/90",A1:CV300,113,FALSE)</f>
      </c>
      <c r="BT113" s="24020">
        <f>HLOOKUP("xPts/90",A1:CV300,113,FALSE)-(5*0.75*(HLOOKUP("PK Gs",A1:CV300,113,FALSE)+HLOOKUP("PK Miss",A1:CV300,113,FALSE))*90/HLOOKUP("Mins",A1:CV300,113,FALSE))</f>
      </c>
      <c r="BU113" s="24021">
        <f>IF(HLOOKUP("Mins",A1:CV300,113,FALSE)=0,0,HLOOKUP("fsXG",A1:CV300,113,FALSE)/HLOOKUP("Mins",A1:CV300,113,FALSE)* 90)</f>
      </c>
      <c r="BV113" s="24022">
        <f>IF(HLOOKUP("Mins",A1:CV300,113,FALSE)=0,0,HLOOKUP("fsXA",A1:CV300,113,FALSE)/HLOOKUP("Mins",A1:CV300,113,FALSE)* 90)</f>
      </c>
      <c r="BW113" s="24023">
        <f>5*HLOOKUP("fsXG/90",A1:CV300,113,FALSE)+3*HLOOKUP("fsXA/90",A1:CV300,113,FALSE)</f>
      </c>
      <c r="BX113" t="n" s="24024">
        <v>0.09587426483631134</v>
      </c>
      <c r="BY113" t="n" s="24025">
        <v>0.17116452753543854</v>
      </c>
      <c r="BZ113" s="24026">
        <f>5*HLOOKUP("uXG/90",A1:CV300,113,FALSE)+3*HLOOKUP("uXA/90",A1:CV300,113,FALSE)</f>
      </c>
    </row>
    <row r="114">
      <c r="A114" t="s" s="24027">
        <v>405</v>
      </c>
      <c r="B114" t="s" s="24028">
        <v>102</v>
      </c>
      <c r="C114" t="n" s="24029">
        <v>4.300000190734863</v>
      </c>
      <c r="D114" t="n" s="24030">
        <v>424.0</v>
      </c>
      <c r="E114" t="n" s="24031">
        <v>5.0</v>
      </c>
      <c r="F114" t="n" s="24032">
        <v>41.0</v>
      </c>
      <c r="G114" t="n" s="24033">
        <v>0.0</v>
      </c>
      <c r="H114" t="n" s="24034">
        <v>2.0</v>
      </c>
      <c r="I114" t="n" s="24035">
        <v>183.0</v>
      </c>
      <c r="J114" s="24036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4037">
        <v>0.0</v>
      </c>
      <c r="L114" t="n" s="24038">
        <v>4.0</v>
      </c>
      <c r="M114" t="n" s="24039">
        <v>6.0</v>
      </c>
      <c r="N114" t="n" s="24040">
        <v>3.0</v>
      </c>
      <c r="O114" t="n" s="24041">
        <v>0.0</v>
      </c>
      <c r="P114" s="24042">
        <f>IF(HLOOKUP("Shots",A1:CV300,114,FALSE)=0,0,HLOOKUP("SIB",A1:CV300,114,FALSE)/HLOOKUP("Shots",A1:CV300,114,FALSE))</f>
      </c>
      <c r="Q114" t="n" s="24043">
        <v>0.0</v>
      </c>
      <c r="R114" s="24044">
        <f>IF(HLOOKUP("Shots",A1:CV300,114,FALSE)=0,0,HLOOKUP("S6YD",A1:CV300,114,FALSE)/HLOOKUP("Shots",A1:CV300,114,FALSE))</f>
      </c>
      <c r="S114" t="n" s="24045">
        <v>0.0</v>
      </c>
      <c r="T114" s="24046">
        <f>IF(HLOOKUP("Shots",A1:CV300,114,FALSE)=0,0,HLOOKUP("Headers",A1:CV300,114,FALSE)/HLOOKUP("Shots",A1:CV300,114,FALSE))</f>
      </c>
      <c r="U114" t="n" s="24047">
        <v>0.0</v>
      </c>
      <c r="V114" s="24048">
        <f>IF(HLOOKUP("Shots",A1:CV300,114,FALSE)=0,0,HLOOKUP("SOT",A1:CV300,114,FALSE)/HLOOKUP("Shots",A1:CV300,114,FALSE))</f>
      </c>
      <c r="W114" s="24049">
        <f>IF(HLOOKUP("Shots",A1:CV300,114,FALSE)=0,0,HLOOKUP("Gs",A1:CV300,114,FALSE)/HLOOKUP("Shots",A1:CV300,114,FALSE))</f>
      </c>
      <c r="X114" t="n" s="24050">
        <v>0.0</v>
      </c>
      <c r="Y114" t="n" s="24051">
        <v>2.0</v>
      </c>
      <c r="Z114" t="n" s="24052">
        <v>2.0</v>
      </c>
      <c r="AA114" s="24053">
        <f>IF(HLOOKUP("KP",A1:CV300,114,FALSE)=0,0,HLOOKUP("As",A1:CV300,114,FALSE)/HLOOKUP("KP",A1:CV300,114,FALSE))</f>
      </c>
      <c r="AB114" s="24054"/>
      <c r="AC114" t="n" s="24055">
        <v>0.0</v>
      </c>
      <c r="AD114" t="n" s="24056">
        <v>1.0</v>
      </c>
      <c r="AE114" t="n" s="24057">
        <v>0.0</v>
      </c>
      <c r="AF114" t="n" s="24058">
        <v>0.0</v>
      </c>
      <c r="AG114" s="24059">
        <f>IF(HLOOKUP("BC",A1:CV300,114,FALSE)=0,0,HLOOKUP("Gs - BC",A1:CV300,114,FALSE)/HLOOKUP("BC",A1:CV300,114,FALSE))</f>
      </c>
      <c r="AH114" s="24060">
        <f>HLOOKUP("BC",A1:CV300,114,FALSE) - HLOOKUP("BC Miss",A1:CV300,114,FALSE)</f>
      </c>
      <c r="AI114" s="24061">
        <f>IF(HLOOKUP("Gs",A1:CV300,114,FALSE)=0,0,HLOOKUP("Gs - BC",A1:CV300,114,FALSE)/HLOOKUP("Gs",A1:CV300,114,FALSE))</f>
      </c>
      <c r="AJ114" t="n" s="24062">
        <v>0.0</v>
      </c>
      <c r="AK114" t="n" s="24063">
        <v>0.0</v>
      </c>
      <c r="AL114" s="24064">
        <f>HLOOKUP("BC",A1:CV300,114,FALSE) - (HLOOKUP("PK Gs",A1:CV300,114,FALSE) + HLOOKUP("PK Miss",A1:CV300,114,FALSE))</f>
      </c>
      <c r="AM114" s="24065">
        <f>HLOOKUP("BC Miss",A1:CV300,114,FALSE) - HLOOKUP("PK Miss",A1:CV300,114,FALSE)</f>
      </c>
      <c r="AN114" s="24066">
        <f>IF(HLOOKUP("BC - Open",A1:CV300,114,FALSE)=0,0,HLOOKUP("BC - Open Miss",A1:CV300,114,FALSE)/HLOOKUP("BC - Open",A1:CV300,114,FALSE))</f>
      </c>
      <c r="AO114" t="n" s="24067">
        <v>0.0</v>
      </c>
      <c r="AP114" s="24068">
        <f>IF(HLOOKUP("Gs",A1:CV300,114,FALSE)=0,0,HLOOKUP("GIB",A1:CV300,114,FALSE)/HLOOKUP("Gs",A1:CV300,114,FALSE))</f>
      </c>
      <c r="AQ114" t="n" s="24069">
        <v>0.0</v>
      </c>
      <c r="AR114" s="24070">
        <f>IF(HLOOKUP("Gs",A1:CV300,114,FALSE)=0,0,HLOOKUP("Gs - Open",A1:CV300,114,FALSE)/HLOOKUP("Gs",A1:CV300,114,FALSE))</f>
      </c>
      <c r="AS114" t="n" s="24071">
        <v>0.07</v>
      </c>
      <c r="AT114" t="n" s="24072">
        <v>0.37</v>
      </c>
      <c r="AU114" s="24073">
        <f>IF(HLOOKUP("Mins",A1:CV300,114,FALSE)=0,0,HLOOKUP("Pts",A1:CV300,114,FALSE)/HLOOKUP("Mins",A1:CV300,114,FALSE)* 90)</f>
      </c>
      <c r="AV114" s="24074">
        <f>IF(HLOOKUP("Apps",A1:CV300,114,FALSE)=0,0,HLOOKUP("Pts",A1:CV300,114,FALSE)/HLOOKUP("Apps",A1:CV300,114,FALSE)* 1)</f>
      </c>
      <c r="AW114" s="24075">
        <f>IF(HLOOKUP("Mins",A1:CV300,114,FALSE)=0,0,HLOOKUP("Gs",A1:CV300,114,FALSE)/HLOOKUP("Mins",A1:CV300,114,FALSE)* 90)</f>
      </c>
      <c r="AX114" s="24076">
        <f>IF(HLOOKUP("Mins",A1:CV300,114,FALSE)=0,0,HLOOKUP("Bonus",A1:CV300,114,FALSE)/HLOOKUP("Mins",A1:CV300,114,FALSE)* 90)</f>
      </c>
      <c r="AY114" s="24077">
        <f>IF(HLOOKUP("Mins",A1:CV300,114,FALSE)=0,0,HLOOKUP("BPS",A1:CV300,114,FALSE)/HLOOKUP("Mins",A1:CV300,114,FALSE)* 90)</f>
      </c>
      <c r="AZ114" s="24078">
        <f>IF(HLOOKUP("Mins",A1:CV300,114,FALSE)=0,0,HLOOKUP("Base BPS",A1:CV300,114,FALSE)/HLOOKUP("Mins",A1:CV300,114,FALSE)* 90)</f>
      </c>
      <c r="BA114" s="24079">
        <f>IF(HLOOKUP("Mins",A1:CV300,114,FALSE)=0,0,HLOOKUP("PenTchs",A1:CV300,114,FALSE)/HLOOKUP("Mins",A1:CV300,114,FALSE)* 90)</f>
      </c>
      <c r="BB114" s="24080">
        <f>IF(HLOOKUP("Mins",A1:CV300,114,FALSE)=0,0,HLOOKUP("Shots",A1:CV300,114,FALSE)/HLOOKUP("Mins",A1:CV300,114,FALSE)* 90)</f>
      </c>
      <c r="BC114" s="24081">
        <f>IF(HLOOKUP("Mins",A1:CV300,114,FALSE)=0,0,HLOOKUP("SIB",A1:CV300,114,FALSE)/HLOOKUP("Mins",A1:CV300,114,FALSE)* 90)</f>
      </c>
      <c r="BD114" s="24082">
        <f>IF(HLOOKUP("Mins",A1:CV300,114,FALSE)=0,0,HLOOKUP("S6YD",A1:CV300,114,FALSE)/HLOOKUP("Mins",A1:CV300,114,FALSE)* 90)</f>
      </c>
      <c r="BE114" s="24083">
        <f>IF(HLOOKUP("Mins",A1:CV300,114,FALSE)=0,0,HLOOKUP("Headers",A1:CV300,114,FALSE)/HLOOKUP("Mins",A1:CV300,114,FALSE)* 90)</f>
      </c>
      <c r="BF114" s="24084">
        <f>IF(HLOOKUP("Mins",A1:CV300,114,FALSE)=0,0,HLOOKUP("SOT",A1:CV300,114,FALSE)/HLOOKUP("Mins",A1:CV300,114,FALSE)* 90)</f>
      </c>
      <c r="BG114" s="24085">
        <f>IF(HLOOKUP("Mins",A1:CV300,114,FALSE)=0,0,HLOOKUP("As",A1:CV300,114,FALSE)/HLOOKUP("Mins",A1:CV300,114,FALSE)* 90)</f>
      </c>
      <c r="BH114" s="24086">
        <f>IF(HLOOKUP("Mins",A1:CV300,114,FALSE)=0,0,HLOOKUP("FPL As",A1:CV300,114,FALSE)/HLOOKUP("Mins",A1:CV300,114,FALSE)* 90)</f>
      </c>
      <c r="BI114" s="24087">
        <f>IF(HLOOKUP("Mins",A1:CV300,114,FALSE)=0,0,HLOOKUP("BC Created",A1:CV300,114,FALSE)/HLOOKUP("Mins",A1:CV300,114,FALSE)* 90)</f>
      </c>
      <c r="BJ114" s="24088">
        <f>IF(HLOOKUP("Mins",A1:CV300,114,FALSE)=0,0,HLOOKUP("KP",A1:CV300,114,FALSE)/HLOOKUP("Mins",A1:CV300,114,FALSE)* 90)</f>
      </c>
      <c r="BK114" s="24089">
        <f>IF(HLOOKUP("Mins",A1:CV300,114,FALSE)=0,0,HLOOKUP("BC",A1:CV300,114,FALSE)/HLOOKUP("Mins",A1:CV300,114,FALSE)* 90)</f>
      </c>
      <c r="BL114" s="24090">
        <f>IF(HLOOKUP("Mins",A1:CV300,114,FALSE)=0,0,HLOOKUP("BC Miss",A1:CV300,114,FALSE)/HLOOKUP("Mins",A1:CV300,114,FALSE)* 90)</f>
      </c>
      <c r="BM114" s="24091">
        <f>IF(HLOOKUP("Mins",A1:CV300,114,FALSE)=0,0,HLOOKUP("Gs - BC",A1:CV300,114,FALSE)/HLOOKUP("Mins",A1:CV300,114,FALSE)* 90)</f>
      </c>
      <c r="BN114" s="24092">
        <f>IF(HLOOKUP("Mins",A1:CV300,114,FALSE)=0,0,HLOOKUP("GIB",A1:CV300,114,FALSE)/HLOOKUP("Mins",A1:CV300,114,FALSE)* 90)</f>
      </c>
      <c r="BO114" s="24093">
        <f>IF(HLOOKUP("Mins",A1:CV300,114,FALSE)=0,0,HLOOKUP("Gs - Open",A1:CV300,114,FALSE)/HLOOKUP("Mins",A1:CV300,114,FALSE)* 90)</f>
      </c>
      <c r="BP114" s="24094">
        <f>IF(HLOOKUP("Mins",A1:CV300,114,FALSE)=0,0,HLOOKUP("ICT Index",A1:CV300,114,FALSE)/HLOOKUP("Mins",A1:CV300,114,FALSE)* 90)</f>
      </c>
      <c r="BQ114" s="24095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4096">
        <f>0.0885*HLOOKUP("KP/90",A1:CV300,114,FALSE)</f>
      </c>
      <c r="BS114" s="24097">
        <f>5*HLOOKUP("xG/90",A1:CV300,114,FALSE)+3*HLOOKUP("xA/90",A1:CV300,114,FALSE)</f>
      </c>
      <c r="BT114" s="24098">
        <f>HLOOKUP("xPts/90",A1:CV300,114,FALSE)-(5*0.75*(HLOOKUP("PK Gs",A1:CV300,114,FALSE)+HLOOKUP("PK Miss",A1:CV300,114,FALSE))*90/HLOOKUP("Mins",A1:CV300,114,FALSE))</f>
      </c>
      <c r="BU114" s="24099">
        <f>IF(HLOOKUP("Mins",A1:CV300,114,FALSE)=0,0,HLOOKUP("fsXG",A1:CV300,114,FALSE)/HLOOKUP("Mins",A1:CV300,114,FALSE)* 90)</f>
      </c>
      <c r="BV114" s="24100">
        <f>IF(HLOOKUP("Mins",A1:CV300,114,FALSE)=0,0,HLOOKUP("fsXA",A1:CV300,114,FALSE)/HLOOKUP("Mins",A1:CV300,114,FALSE)* 90)</f>
      </c>
      <c r="BW114" s="24101">
        <f>5*HLOOKUP("fsXG/90",A1:CV300,114,FALSE)+3*HLOOKUP("fsXA/90",A1:CV300,114,FALSE)</f>
      </c>
      <c r="BX114" t="n" s="24102">
        <v>0.010234472341835499</v>
      </c>
      <c r="BY114" t="n" s="24103">
        <v>0.0858105793595314</v>
      </c>
      <c r="BZ114" s="24104">
        <f>5*HLOOKUP("uXG/90",A1:CV300,114,FALSE)+3*HLOOKUP("uXA/90",A1:CV300,114,FALSE)</f>
      </c>
    </row>
    <row r="115">
      <c r="A115" t="s" s="24105">
        <v>406</v>
      </c>
      <c r="B115" t="s" s="24106">
        <v>87</v>
      </c>
      <c r="C115" t="n" s="24107">
        <v>5.5</v>
      </c>
      <c r="D115" t="n" s="24108">
        <v>372.0</v>
      </c>
      <c r="E115" t="n" s="24109">
        <v>5.0</v>
      </c>
      <c r="F115" t="n" s="24110">
        <v>67.0</v>
      </c>
      <c r="G115" t="n" s="24111">
        <v>1.0</v>
      </c>
      <c r="H115" t="n" s="24112">
        <v>0.0</v>
      </c>
      <c r="I115" t="n" s="24113">
        <v>209.0</v>
      </c>
      <c r="J115" s="24114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4115">
        <v>0.0</v>
      </c>
      <c r="L115" t="n" s="24116">
        <v>4.0</v>
      </c>
      <c r="M115" t="n" s="24117">
        <v>12.0</v>
      </c>
      <c r="N115" t="n" s="24118">
        <v>10.0</v>
      </c>
      <c r="O115" t="n" s="24119">
        <v>8.0</v>
      </c>
      <c r="P115" s="24120">
        <f>IF(HLOOKUP("Shots",A1:CV300,115,FALSE)=0,0,HLOOKUP("SIB",A1:CV300,115,FALSE)/HLOOKUP("Shots",A1:CV300,115,FALSE))</f>
      </c>
      <c r="Q115" t="n" s="24121">
        <v>1.0</v>
      </c>
      <c r="R115" s="24122">
        <f>IF(HLOOKUP("Shots",A1:CV300,115,FALSE)=0,0,HLOOKUP("S6YD",A1:CV300,115,FALSE)/HLOOKUP("Shots",A1:CV300,115,FALSE))</f>
      </c>
      <c r="S115" t="n" s="24123">
        <v>2.0</v>
      </c>
      <c r="T115" s="24124">
        <f>IF(HLOOKUP("Shots",A1:CV300,115,FALSE)=0,0,HLOOKUP("Headers",A1:CV300,115,FALSE)/HLOOKUP("Shots",A1:CV300,115,FALSE))</f>
      </c>
      <c r="U115" t="n" s="24125">
        <v>2.0</v>
      </c>
      <c r="V115" s="24126">
        <f>IF(HLOOKUP("Shots",A1:CV300,115,FALSE)=0,0,HLOOKUP("SOT",A1:CV300,115,FALSE)/HLOOKUP("Shots",A1:CV300,115,FALSE))</f>
      </c>
      <c r="W115" s="24127">
        <f>IF(HLOOKUP("Shots",A1:CV300,115,FALSE)=0,0,HLOOKUP("Gs",A1:CV300,115,FALSE)/HLOOKUP("Shots",A1:CV300,115,FALSE))</f>
      </c>
      <c r="X115" t="n" s="24128">
        <v>0.0</v>
      </c>
      <c r="Y115" t="n" s="24129">
        <v>4.0</v>
      </c>
      <c r="Z115" t="n" s="24130">
        <v>4.0</v>
      </c>
      <c r="AA115" s="24131">
        <f>IF(HLOOKUP("KP",A1:CV300,115,FALSE)=0,0,HLOOKUP("As",A1:CV300,115,FALSE)/HLOOKUP("KP",A1:CV300,115,FALSE))</f>
      </c>
      <c r="AB115" s="24132"/>
      <c r="AC115" t="n" s="24133">
        <v>50.0</v>
      </c>
      <c r="AD115" t="n" s="24134">
        <v>0.0</v>
      </c>
      <c r="AE115" t="n" s="24135">
        <v>2.0</v>
      </c>
      <c r="AF115" t="n" s="24136">
        <v>1.0</v>
      </c>
      <c r="AG115" s="24137">
        <f>IF(HLOOKUP("BC",A1:CV300,115,FALSE)=0,0,HLOOKUP("Gs - BC",A1:CV300,115,FALSE)/HLOOKUP("BC",A1:CV300,115,FALSE))</f>
      </c>
      <c r="AH115" s="24138">
        <f>HLOOKUP("BC",A1:CV300,115,FALSE) - HLOOKUP("BC Miss",A1:CV300,115,FALSE)</f>
      </c>
      <c r="AI115" s="24139">
        <f>IF(HLOOKUP("Gs",A1:CV300,115,FALSE)=0,0,HLOOKUP("Gs - BC",A1:CV300,115,FALSE)/HLOOKUP("Gs",A1:CV300,115,FALSE))</f>
      </c>
      <c r="AJ115" t="n" s="24140">
        <v>1.0</v>
      </c>
      <c r="AK115" t="n" s="24141">
        <v>0.0</v>
      </c>
      <c r="AL115" s="24142">
        <f>HLOOKUP("BC",A1:CV300,115,FALSE) - (HLOOKUP("PK Gs",A1:CV300,115,FALSE) + HLOOKUP("PK Miss",A1:CV300,115,FALSE))</f>
      </c>
      <c r="AM115" s="24143">
        <f>HLOOKUP("BC Miss",A1:CV300,115,FALSE) - HLOOKUP("PK Miss",A1:CV300,115,FALSE)</f>
      </c>
      <c r="AN115" s="24144">
        <f>IF(HLOOKUP("BC - Open",A1:CV300,115,FALSE)=0,0,HLOOKUP("BC - Open Miss",A1:CV300,115,FALSE)/HLOOKUP("BC - Open",A1:CV300,115,FALSE))</f>
      </c>
      <c r="AO115" t="n" s="24145">
        <v>1.0</v>
      </c>
      <c r="AP115" s="24146">
        <f>IF(HLOOKUP("Gs",A1:CV300,115,FALSE)=0,0,HLOOKUP("GIB",A1:CV300,115,FALSE)/HLOOKUP("Gs",A1:CV300,115,FALSE))</f>
      </c>
      <c r="AQ115" t="n" s="24147">
        <v>0.0</v>
      </c>
      <c r="AR115" s="24148">
        <f>IF(HLOOKUP("Gs",A1:CV300,115,FALSE)=0,0,HLOOKUP("Gs - Open",A1:CV300,115,FALSE)/HLOOKUP("Gs",A1:CV300,115,FALSE))</f>
      </c>
      <c r="AS115" t="n" s="24149">
        <v>1.38</v>
      </c>
      <c r="AT115" t="n" s="24150">
        <v>0.37</v>
      </c>
      <c r="AU115" s="24151">
        <f>IF(HLOOKUP("Mins",A1:CV300,115,FALSE)=0,0,HLOOKUP("Pts",A1:CV300,115,FALSE)/HLOOKUP("Mins",A1:CV300,115,FALSE)* 90)</f>
      </c>
      <c r="AV115" s="24152">
        <f>IF(HLOOKUP("Apps",A1:CV300,115,FALSE)=0,0,HLOOKUP("Pts",A1:CV300,115,FALSE)/HLOOKUP("Apps",A1:CV300,115,FALSE)* 1)</f>
      </c>
      <c r="AW115" s="24153">
        <f>IF(HLOOKUP("Mins",A1:CV300,115,FALSE)=0,0,HLOOKUP("Gs",A1:CV300,115,FALSE)/HLOOKUP("Mins",A1:CV300,115,FALSE)* 90)</f>
      </c>
      <c r="AX115" s="24154">
        <f>IF(HLOOKUP("Mins",A1:CV300,115,FALSE)=0,0,HLOOKUP("Bonus",A1:CV300,115,FALSE)/HLOOKUP("Mins",A1:CV300,115,FALSE)* 90)</f>
      </c>
      <c r="AY115" s="24155">
        <f>IF(HLOOKUP("Mins",A1:CV300,115,FALSE)=0,0,HLOOKUP("BPS",A1:CV300,115,FALSE)/HLOOKUP("Mins",A1:CV300,115,FALSE)* 90)</f>
      </c>
      <c r="AZ115" s="24156">
        <f>IF(HLOOKUP("Mins",A1:CV300,115,FALSE)=0,0,HLOOKUP("Base BPS",A1:CV300,115,FALSE)/HLOOKUP("Mins",A1:CV300,115,FALSE)* 90)</f>
      </c>
      <c r="BA115" s="24157">
        <f>IF(HLOOKUP("Mins",A1:CV300,115,FALSE)=0,0,HLOOKUP("PenTchs",A1:CV300,115,FALSE)/HLOOKUP("Mins",A1:CV300,115,FALSE)* 90)</f>
      </c>
      <c r="BB115" s="24158">
        <f>IF(HLOOKUP("Mins",A1:CV300,115,FALSE)=0,0,HLOOKUP("Shots",A1:CV300,115,FALSE)/HLOOKUP("Mins",A1:CV300,115,FALSE)* 90)</f>
      </c>
      <c r="BC115" s="24159">
        <f>IF(HLOOKUP("Mins",A1:CV300,115,FALSE)=0,0,HLOOKUP("SIB",A1:CV300,115,FALSE)/HLOOKUP("Mins",A1:CV300,115,FALSE)* 90)</f>
      </c>
      <c r="BD115" s="24160">
        <f>IF(HLOOKUP("Mins",A1:CV300,115,FALSE)=0,0,HLOOKUP("S6YD",A1:CV300,115,FALSE)/HLOOKUP("Mins",A1:CV300,115,FALSE)* 90)</f>
      </c>
      <c r="BE115" s="24161">
        <f>IF(HLOOKUP("Mins",A1:CV300,115,FALSE)=0,0,HLOOKUP("Headers",A1:CV300,115,FALSE)/HLOOKUP("Mins",A1:CV300,115,FALSE)* 90)</f>
      </c>
      <c r="BF115" s="24162">
        <f>IF(HLOOKUP("Mins",A1:CV300,115,FALSE)=0,0,HLOOKUP("SOT",A1:CV300,115,FALSE)/HLOOKUP("Mins",A1:CV300,115,FALSE)* 90)</f>
      </c>
      <c r="BG115" s="24163">
        <f>IF(HLOOKUP("Mins",A1:CV300,115,FALSE)=0,0,HLOOKUP("As",A1:CV300,115,FALSE)/HLOOKUP("Mins",A1:CV300,115,FALSE)* 90)</f>
      </c>
      <c r="BH115" s="24164">
        <f>IF(HLOOKUP("Mins",A1:CV300,115,FALSE)=0,0,HLOOKUP("FPL As",A1:CV300,115,FALSE)/HLOOKUP("Mins",A1:CV300,115,FALSE)* 90)</f>
      </c>
      <c r="BI115" s="24165">
        <f>IF(HLOOKUP("Mins",A1:CV300,115,FALSE)=0,0,HLOOKUP("BC Created",A1:CV300,115,FALSE)/HLOOKUP("Mins",A1:CV300,115,FALSE)* 90)</f>
      </c>
      <c r="BJ115" s="24166">
        <f>IF(HLOOKUP("Mins",A1:CV300,115,FALSE)=0,0,HLOOKUP("KP",A1:CV300,115,FALSE)/HLOOKUP("Mins",A1:CV300,115,FALSE)* 90)</f>
      </c>
      <c r="BK115" s="24167">
        <f>IF(HLOOKUP("Mins",A1:CV300,115,FALSE)=0,0,HLOOKUP("BC",A1:CV300,115,FALSE)/HLOOKUP("Mins",A1:CV300,115,FALSE)* 90)</f>
      </c>
      <c r="BL115" s="24168">
        <f>IF(HLOOKUP("Mins",A1:CV300,115,FALSE)=0,0,HLOOKUP("BC Miss",A1:CV300,115,FALSE)/HLOOKUP("Mins",A1:CV300,115,FALSE)* 90)</f>
      </c>
      <c r="BM115" s="24169">
        <f>IF(HLOOKUP("Mins",A1:CV300,115,FALSE)=0,0,HLOOKUP("Gs - BC",A1:CV300,115,FALSE)/HLOOKUP("Mins",A1:CV300,115,FALSE)* 90)</f>
      </c>
      <c r="BN115" s="24170">
        <f>IF(HLOOKUP("Mins",A1:CV300,115,FALSE)=0,0,HLOOKUP("GIB",A1:CV300,115,FALSE)/HLOOKUP("Mins",A1:CV300,115,FALSE)* 90)</f>
      </c>
      <c r="BO115" s="24171">
        <f>IF(HLOOKUP("Mins",A1:CV300,115,FALSE)=0,0,HLOOKUP("Gs - Open",A1:CV300,115,FALSE)/HLOOKUP("Mins",A1:CV300,115,FALSE)* 90)</f>
      </c>
      <c r="BP115" s="24172">
        <f>IF(HLOOKUP("Mins",A1:CV300,115,FALSE)=0,0,HLOOKUP("ICT Index",A1:CV300,115,FALSE)/HLOOKUP("Mins",A1:CV300,115,FALSE)* 90)</f>
      </c>
      <c r="BQ115" s="24173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4174">
        <f>0.0885*HLOOKUP("KP/90",A1:CV300,115,FALSE)</f>
      </c>
      <c r="BS115" s="24175">
        <f>5*HLOOKUP("xG/90",A1:CV300,115,FALSE)+3*HLOOKUP("xA/90",A1:CV300,115,FALSE)</f>
      </c>
      <c r="BT115" s="24176">
        <f>HLOOKUP("xPts/90",A1:CV300,115,FALSE)-(5*0.75*(HLOOKUP("PK Gs",A1:CV300,115,FALSE)+HLOOKUP("PK Miss",A1:CV300,115,FALSE))*90/HLOOKUP("Mins",A1:CV300,115,FALSE))</f>
      </c>
      <c r="BU115" s="24177">
        <f>IF(HLOOKUP("Mins",A1:CV300,115,FALSE)=0,0,HLOOKUP("fsXG",A1:CV300,115,FALSE)/HLOOKUP("Mins",A1:CV300,115,FALSE)* 90)</f>
      </c>
      <c r="BV115" s="24178">
        <f>IF(HLOOKUP("Mins",A1:CV300,115,FALSE)=0,0,HLOOKUP("fsXA",A1:CV300,115,FALSE)/HLOOKUP("Mins",A1:CV300,115,FALSE)* 90)</f>
      </c>
      <c r="BW115" s="24179">
        <f>5*HLOOKUP("fsXG/90",A1:CV300,115,FALSE)+3*HLOOKUP("fsXA/90",A1:CV300,115,FALSE)</f>
      </c>
      <c r="BX115" t="n" s="24180">
        <v>0.3230193853378296</v>
      </c>
      <c r="BY115" t="n" s="24181">
        <v>0.05190020427107811</v>
      </c>
      <c r="BZ115" s="24182">
        <f>5*HLOOKUP("uXG/90",A1:CV300,115,FALSE)+3*HLOOKUP("uXA/90",A1:CV300,115,FALSE)</f>
      </c>
    </row>
    <row r="116">
      <c r="A116" t="s" s="24183">
        <v>407</v>
      </c>
      <c r="B116" t="s" s="24184">
        <v>144</v>
      </c>
      <c r="C116" t="n" s="24185">
        <v>6.300000190734863</v>
      </c>
      <c r="D116" t="n" s="24186">
        <v>231.0</v>
      </c>
      <c r="E116" t="n" s="24187">
        <v>5.0</v>
      </c>
      <c r="F116" t="n" s="24188">
        <v>23.0</v>
      </c>
      <c r="G116" t="n" s="24189">
        <v>0.0</v>
      </c>
      <c r="H116" t="n" s="24190">
        <v>0.0</v>
      </c>
      <c r="I116" t="n" s="24191">
        <v>67.0</v>
      </c>
      <c r="J116" s="24192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4193">
        <v>0.0</v>
      </c>
      <c r="L116" t="n" s="24194">
        <v>1.0</v>
      </c>
      <c r="M116" t="n" s="24195">
        <v>7.0</v>
      </c>
      <c r="N116" t="n" s="24196">
        <v>4.0</v>
      </c>
      <c r="O116" t="n" s="24197">
        <v>2.0</v>
      </c>
      <c r="P116" s="24198">
        <f>IF(HLOOKUP("Shots",A1:CV300,116,FALSE)=0,0,HLOOKUP("SIB",A1:CV300,116,FALSE)/HLOOKUP("Shots",A1:CV300,116,FALSE))</f>
      </c>
      <c r="Q116" t="n" s="24199">
        <v>0.0</v>
      </c>
      <c r="R116" s="24200">
        <f>IF(HLOOKUP("Shots",A1:CV300,116,FALSE)=0,0,HLOOKUP("S6YD",A1:CV300,116,FALSE)/HLOOKUP("Shots",A1:CV300,116,FALSE))</f>
      </c>
      <c r="S116" t="n" s="24201">
        <v>0.0</v>
      </c>
      <c r="T116" s="24202">
        <f>IF(HLOOKUP("Shots",A1:CV300,116,FALSE)=0,0,HLOOKUP("Headers",A1:CV300,116,FALSE)/HLOOKUP("Shots",A1:CV300,116,FALSE))</f>
      </c>
      <c r="U116" t="n" s="24203">
        <v>0.0</v>
      </c>
      <c r="V116" s="24204">
        <f>IF(HLOOKUP("Shots",A1:CV300,116,FALSE)=0,0,HLOOKUP("SOT",A1:CV300,116,FALSE)/HLOOKUP("Shots",A1:CV300,116,FALSE))</f>
      </c>
      <c r="W116" s="24205">
        <f>IF(HLOOKUP("Shots",A1:CV300,116,FALSE)=0,0,HLOOKUP("Gs",A1:CV300,116,FALSE)/HLOOKUP("Shots",A1:CV300,116,FALSE))</f>
      </c>
      <c r="X116" t="n" s="24206">
        <v>0.0</v>
      </c>
      <c r="Y116" t="n" s="24207">
        <v>0.0</v>
      </c>
      <c r="Z116" t="n" s="24208">
        <v>4.0</v>
      </c>
      <c r="AA116" s="24209">
        <f>IF(HLOOKUP("KP",A1:CV300,116,FALSE)=0,0,HLOOKUP("As",A1:CV300,116,FALSE)/HLOOKUP("KP",A1:CV300,116,FALSE))</f>
      </c>
      <c r="AB116" s="24210"/>
      <c r="AC116" t="n" s="24211">
        <v>0.0</v>
      </c>
      <c r="AD116" t="n" s="24212">
        <v>0.0</v>
      </c>
      <c r="AE116" t="n" s="24213">
        <v>2.0</v>
      </c>
      <c r="AF116" t="n" s="24214">
        <v>2.0</v>
      </c>
      <c r="AG116" s="24215">
        <f>IF(HLOOKUP("BC",A1:CV300,116,FALSE)=0,0,HLOOKUP("Gs - BC",A1:CV300,116,FALSE)/HLOOKUP("BC",A1:CV300,116,FALSE))</f>
      </c>
      <c r="AH116" s="24216">
        <f>HLOOKUP("BC",A1:CV300,116,FALSE) - HLOOKUP("BC Miss",A1:CV300,116,FALSE)</f>
      </c>
      <c r="AI116" s="24217">
        <f>IF(HLOOKUP("Gs",A1:CV300,116,FALSE)=0,0,HLOOKUP("Gs - BC",A1:CV300,116,FALSE)/HLOOKUP("Gs",A1:CV300,116,FALSE))</f>
      </c>
      <c r="AJ116" t="n" s="24218">
        <v>0.0</v>
      </c>
      <c r="AK116" t="n" s="24219">
        <v>0.0</v>
      </c>
      <c r="AL116" s="24220">
        <f>HLOOKUP("BC",A1:CV300,116,FALSE) - (HLOOKUP("PK Gs",A1:CV300,116,FALSE) + HLOOKUP("PK Miss",A1:CV300,116,FALSE))</f>
      </c>
      <c r="AM116" s="24221">
        <f>HLOOKUP("BC Miss",A1:CV300,116,FALSE) - HLOOKUP("PK Miss",A1:CV300,116,FALSE)</f>
      </c>
      <c r="AN116" s="24222">
        <f>IF(HLOOKUP("BC - Open",A1:CV300,116,FALSE)=0,0,HLOOKUP("BC - Open Miss",A1:CV300,116,FALSE)/HLOOKUP("BC - Open",A1:CV300,116,FALSE))</f>
      </c>
      <c r="AO116" t="n" s="24223">
        <v>0.0</v>
      </c>
      <c r="AP116" s="24224">
        <f>IF(HLOOKUP("Gs",A1:CV300,116,FALSE)=0,0,HLOOKUP("GIB",A1:CV300,116,FALSE)/HLOOKUP("Gs",A1:CV300,116,FALSE))</f>
      </c>
      <c r="AQ116" t="n" s="24225">
        <v>0.0</v>
      </c>
      <c r="AR116" s="24226">
        <f>IF(HLOOKUP("Gs",A1:CV300,116,FALSE)=0,0,HLOOKUP("Gs - Open",A1:CV300,116,FALSE)/HLOOKUP("Gs",A1:CV300,116,FALSE))</f>
      </c>
      <c r="AS116" t="n" s="24227">
        <v>0.77</v>
      </c>
      <c r="AT116" t="n" s="24228">
        <v>0.11</v>
      </c>
      <c r="AU116" s="24229">
        <f>IF(HLOOKUP("Mins",A1:CV300,116,FALSE)=0,0,HLOOKUP("Pts",A1:CV300,116,FALSE)/HLOOKUP("Mins",A1:CV300,116,FALSE)* 90)</f>
      </c>
      <c r="AV116" s="24230">
        <f>IF(HLOOKUP("Apps",A1:CV300,116,FALSE)=0,0,HLOOKUP("Pts",A1:CV300,116,FALSE)/HLOOKUP("Apps",A1:CV300,116,FALSE)* 1)</f>
      </c>
      <c r="AW116" s="24231">
        <f>IF(HLOOKUP("Mins",A1:CV300,116,FALSE)=0,0,HLOOKUP("Gs",A1:CV300,116,FALSE)/HLOOKUP("Mins",A1:CV300,116,FALSE)* 90)</f>
      </c>
      <c r="AX116" s="24232">
        <f>IF(HLOOKUP("Mins",A1:CV300,116,FALSE)=0,0,HLOOKUP("Bonus",A1:CV300,116,FALSE)/HLOOKUP("Mins",A1:CV300,116,FALSE)* 90)</f>
      </c>
      <c r="AY116" s="24233">
        <f>IF(HLOOKUP("Mins",A1:CV300,116,FALSE)=0,0,HLOOKUP("BPS",A1:CV300,116,FALSE)/HLOOKUP("Mins",A1:CV300,116,FALSE)* 90)</f>
      </c>
      <c r="AZ116" s="24234">
        <f>IF(HLOOKUP("Mins",A1:CV300,116,FALSE)=0,0,HLOOKUP("Base BPS",A1:CV300,116,FALSE)/HLOOKUP("Mins",A1:CV300,116,FALSE)* 90)</f>
      </c>
      <c r="BA116" s="24235">
        <f>IF(HLOOKUP("Mins",A1:CV300,116,FALSE)=0,0,HLOOKUP("PenTchs",A1:CV300,116,FALSE)/HLOOKUP("Mins",A1:CV300,116,FALSE)* 90)</f>
      </c>
      <c r="BB116" s="24236">
        <f>IF(HLOOKUP("Mins",A1:CV300,116,FALSE)=0,0,HLOOKUP("Shots",A1:CV300,116,FALSE)/HLOOKUP("Mins",A1:CV300,116,FALSE)* 90)</f>
      </c>
      <c r="BC116" s="24237">
        <f>IF(HLOOKUP("Mins",A1:CV300,116,FALSE)=0,0,HLOOKUP("SIB",A1:CV300,116,FALSE)/HLOOKUP("Mins",A1:CV300,116,FALSE)* 90)</f>
      </c>
      <c r="BD116" s="24238">
        <f>IF(HLOOKUP("Mins",A1:CV300,116,FALSE)=0,0,HLOOKUP("S6YD",A1:CV300,116,FALSE)/HLOOKUP("Mins",A1:CV300,116,FALSE)* 90)</f>
      </c>
      <c r="BE116" s="24239">
        <f>IF(HLOOKUP("Mins",A1:CV300,116,FALSE)=0,0,HLOOKUP("Headers",A1:CV300,116,FALSE)/HLOOKUP("Mins",A1:CV300,116,FALSE)* 90)</f>
      </c>
      <c r="BF116" s="24240">
        <f>IF(HLOOKUP("Mins",A1:CV300,116,FALSE)=0,0,HLOOKUP("SOT",A1:CV300,116,FALSE)/HLOOKUP("Mins",A1:CV300,116,FALSE)* 90)</f>
      </c>
      <c r="BG116" s="24241">
        <f>IF(HLOOKUP("Mins",A1:CV300,116,FALSE)=0,0,HLOOKUP("As",A1:CV300,116,FALSE)/HLOOKUP("Mins",A1:CV300,116,FALSE)* 90)</f>
      </c>
      <c r="BH116" s="24242">
        <f>IF(HLOOKUP("Mins",A1:CV300,116,FALSE)=0,0,HLOOKUP("FPL As",A1:CV300,116,FALSE)/HLOOKUP("Mins",A1:CV300,116,FALSE)* 90)</f>
      </c>
      <c r="BI116" s="24243">
        <f>IF(HLOOKUP("Mins",A1:CV300,116,FALSE)=0,0,HLOOKUP("BC Created",A1:CV300,116,FALSE)/HLOOKUP("Mins",A1:CV300,116,FALSE)* 90)</f>
      </c>
      <c r="BJ116" s="24244">
        <f>IF(HLOOKUP("Mins",A1:CV300,116,FALSE)=0,0,HLOOKUP("KP",A1:CV300,116,FALSE)/HLOOKUP("Mins",A1:CV300,116,FALSE)* 90)</f>
      </c>
      <c r="BK116" s="24245">
        <f>IF(HLOOKUP("Mins",A1:CV300,116,FALSE)=0,0,HLOOKUP("BC",A1:CV300,116,FALSE)/HLOOKUP("Mins",A1:CV300,116,FALSE)* 90)</f>
      </c>
      <c r="BL116" s="24246">
        <f>IF(HLOOKUP("Mins",A1:CV300,116,FALSE)=0,0,HLOOKUP("BC Miss",A1:CV300,116,FALSE)/HLOOKUP("Mins",A1:CV300,116,FALSE)* 90)</f>
      </c>
      <c r="BM116" s="24247">
        <f>IF(HLOOKUP("Mins",A1:CV300,116,FALSE)=0,0,HLOOKUP("Gs - BC",A1:CV300,116,FALSE)/HLOOKUP("Mins",A1:CV300,116,FALSE)* 90)</f>
      </c>
      <c r="BN116" s="24248">
        <f>IF(HLOOKUP("Mins",A1:CV300,116,FALSE)=0,0,HLOOKUP("GIB",A1:CV300,116,FALSE)/HLOOKUP("Mins",A1:CV300,116,FALSE)* 90)</f>
      </c>
      <c r="BO116" s="24249">
        <f>IF(HLOOKUP("Mins",A1:CV300,116,FALSE)=0,0,HLOOKUP("Gs - Open",A1:CV300,116,FALSE)/HLOOKUP("Mins",A1:CV300,116,FALSE)* 90)</f>
      </c>
      <c r="BP116" s="24250">
        <f>IF(HLOOKUP("Mins",A1:CV300,116,FALSE)=0,0,HLOOKUP("ICT Index",A1:CV300,116,FALSE)/HLOOKUP("Mins",A1:CV300,116,FALSE)* 90)</f>
      </c>
      <c r="BQ116" s="24251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4252">
        <f>0.0885*HLOOKUP("KP/90",A1:CV300,116,FALSE)</f>
      </c>
      <c r="BS116" s="24253">
        <f>5*HLOOKUP("xG/90",A1:CV300,116,FALSE)+3*HLOOKUP("xA/90",A1:CV300,116,FALSE)</f>
      </c>
      <c r="BT116" s="24254">
        <f>HLOOKUP("xPts/90",A1:CV300,116,FALSE)-(5*0.75*(HLOOKUP("PK Gs",A1:CV300,116,FALSE)+HLOOKUP("PK Miss",A1:CV300,116,FALSE))*90/HLOOKUP("Mins",A1:CV300,116,FALSE))</f>
      </c>
      <c r="BU116" s="24255">
        <f>IF(HLOOKUP("Mins",A1:CV300,116,FALSE)=0,0,HLOOKUP("fsXG",A1:CV300,116,FALSE)/HLOOKUP("Mins",A1:CV300,116,FALSE)* 90)</f>
      </c>
      <c r="BV116" s="24256">
        <f>IF(HLOOKUP("Mins",A1:CV300,116,FALSE)=0,0,HLOOKUP("fsXA",A1:CV300,116,FALSE)/HLOOKUP("Mins",A1:CV300,116,FALSE)* 90)</f>
      </c>
      <c r="BW116" s="24257">
        <f>5*HLOOKUP("fsXG/90",A1:CV300,116,FALSE)+3*HLOOKUP("fsXA/90",A1:CV300,116,FALSE)</f>
      </c>
      <c r="BX116" t="n" s="24258">
        <v>0.3268318474292755</v>
      </c>
      <c r="BY116" t="n" s="24259">
        <v>0.045195210725069046</v>
      </c>
      <c r="BZ116" s="24260">
        <f>5*HLOOKUP("uXG/90",A1:CV300,116,FALSE)+3*HLOOKUP("uXA/90",A1:CV300,116,FALSE)</f>
      </c>
    </row>
    <row r="117">
      <c r="A117" t="s" s="24261">
        <v>408</v>
      </c>
      <c r="B117" t="s" s="24262">
        <v>105</v>
      </c>
      <c r="C117" t="n" s="24263">
        <v>5.199999809265137</v>
      </c>
      <c r="D117" t="n" s="24264">
        <v>309.0</v>
      </c>
      <c r="E117" t="n" s="24265">
        <v>6.0</v>
      </c>
      <c r="F117" t="n" s="24266">
        <v>44.0</v>
      </c>
      <c r="G117" t="n" s="24267">
        <v>1.0</v>
      </c>
      <c r="H117" t="n" s="24268">
        <v>4.0</v>
      </c>
      <c r="I117" t="n" s="24269">
        <v>255.0</v>
      </c>
      <c r="J117" s="24270">
        <f>HLOOKUP("BPS",A1:CV300,117,FALSE)-((-6*HLOOKUP("OG",A1:CV300,117,FALSE))+(-6*HLOOKUP("PK Miss",A1:CV300,117,FALSE))+(9*HLOOKUP("FPL As",A1:CV300,117,FALSE))+(0*HLOOKUP("CS",A1:CV300,117,FALSE))+(18*HLOOKUP("Gs",A1:CV300,117,FALSE)))</f>
      </c>
      <c r="K117" t="n" s="24271">
        <v>0.0</v>
      </c>
      <c r="L117" t="n" s="24272">
        <v>3.0</v>
      </c>
      <c r="M117" t="n" s="24273">
        <v>2.0</v>
      </c>
      <c r="N117" t="n" s="24274">
        <v>4.0</v>
      </c>
      <c r="O117" t="n" s="24275">
        <v>1.0</v>
      </c>
      <c r="P117" s="24276">
        <f>IF(HLOOKUP("Shots",A1:CV300,117,FALSE)=0,0,HLOOKUP("SIB",A1:CV300,117,FALSE)/HLOOKUP("Shots",A1:CV300,117,FALSE))</f>
      </c>
      <c r="Q117" t="n" s="24277">
        <v>0.0</v>
      </c>
      <c r="R117" s="24278">
        <f>IF(HLOOKUP("Shots",A1:CV300,117,FALSE)=0,0,HLOOKUP("S6YD",A1:CV300,117,FALSE)/HLOOKUP("Shots",A1:CV300,117,FALSE))</f>
      </c>
      <c r="S117" t="n" s="24279">
        <v>0.0</v>
      </c>
      <c r="T117" s="24280">
        <f>IF(HLOOKUP("Shots",A1:CV300,117,FALSE)=0,0,HLOOKUP("Headers",A1:CV300,117,FALSE)/HLOOKUP("Shots",A1:CV300,117,FALSE))</f>
      </c>
      <c r="U117" t="n" s="24281">
        <v>2.0</v>
      </c>
      <c r="V117" s="24282">
        <f>IF(HLOOKUP("Shots",A1:CV300,117,FALSE)=0,0,HLOOKUP("SOT",A1:CV300,117,FALSE)/HLOOKUP("Shots",A1:CV300,117,FALSE))</f>
      </c>
      <c r="W117" s="24283">
        <f>IF(HLOOKUP("Shots",A1:CV300,117,FALSE)=0,0,HLOOKUP("Gs",A1:CV300,117,FALSE)/HLOOKUP("Shots",A1:CV300,117,FALSE))</f>
      </c>
      <c r="X117" t="n" s="24284">
        <v>1.0</v>
      </c>
      <c r="Y117" t="n" s="24285">
        <v>1.0</v>
      </c>
      <c r="Z117" t="n" s="24286">
        <v>3.0</v>
      </c>
      <c r="AA117" s="24287">
        <f>IF(HLOOKUP("KP",A1:CV300,117,FALSE)=0,0,HLOOKUP("As",A1:CV300,117,FALSE)/HLOOKUP("KP",A1:CV300,117,FALSE))</f>
      </c>
      <c r="AB117" s="24288"/>
      <c r="AC117" t="n" s="24289">
        <v>20.0</v>
      </c>
      <c r="AD117" t="n" s="24290">
        <v>0.0</v>
      </c>
      <c r="AE117" t="n" s="24291">
        <v>1.0</v>
      </c>
      <c r="AF117" t="n" s="24292">
        <v>0.0</v>
      </c>
      <c r="AG117" s="24293">
        <f>IF(HLOOKUP("BC",A1:CV300,117,FALSE)=0,0,HLOOKUP("Gs - BC",A1:CV300,117,FALSE)/HLOOKUP("BC",A1:CV300,117,FALSE))</f>
      </c>
      <c r="AH117" s="24294">
        <f>HLOOKUP("BC",A1:CV300,117,FALSE) - HLOOKUP("BC Miss",A1:CV300,117,FALSE)</f>
      </c>
      <c r="AI117" s="24295">
        <f>IF(HLOOKUP("Gs",A1:CV300,117,FALSE)=0,0,HLOOKUP("Gs - BC",A1:CV300,117,FALSE)/HLOOKUP("Gs",A1:CV300,117,FALSE))</f>
      </c>
      <c r="AJ117" t="n" s="24296">
        <v>1.0</v>
      </c>
      <c r="AK117" t="n" s="24297">
        <v>0.0</v>
      </c>
      <c r="AL117" s="24298">
        <f>HLOOKUP("BC",A1:CV300,117,FALSE) - (HLOOKUP("PK Gs",A1:CV300,117,FALSE) + HLOOKUP("PK Miss",A1:CV300,117,FALSE))</f>
      </c>
      <c r="AM117" s="24299">
        <f>HLOOKUP("BC Miss",A1:CV300,117,FALSE) - HLOOKUP("PK Miss",A1:CV300,117,FALSE)</f>
      </c>
      <c r="AN117" s="24300">
        <f>IF(HLOOKUP("BC - Open",A1:CV300,117,FALSE)=0,0,HLOOKUP("BC - Open Miss",A1:CV300,117,FALSE)/HLOOKUP("BC - Open",A1:CV300,117,FALSE))</f>
      </c>
      <c r="AO117" t="n" s="24301">
        <v>1.0</v>
      </c>
      <c r="AP117" s="24302">
        <f>IF(HLOOKUP("Gs",A1:CV300,117,FALSE)=0,0,HLOOKUP("GIB",A1:CV300,117,FALSE)/HLOOKUP("Gs",A1:CV300,117,FALSE))</f>
      </c>
      <c r="AQ117" t="n" s="24303">
        <v>0.0</v>
      </c>
      <c r="AR117" s="24304">
        <f>IF(HLOOKUP("Gs",A1:CV300,117,FALSE)=0,0,HLOOKUP("Gs - Open",A1:CV300,117,FALSE)/HLOOKUP("Gs",A1:CV300,117,FALSE))</f>
      </c>
      <c r="AS117" t="n" s="24305">
        <v>0.86</v>
      </c>
      <c r="AT117" t="n" s="24306">
        <v>0.22</v>
      </c>
      <c r="AU117" s="24307">
        <f>IF(HLOOKUP("Mins",A1:CV300,117,FALSE)=0,0,HLOOKUP("Pts",A1:CV300,117,FALSE)/HLOOKUP("Mins",A1:CV300,117,FALSE)* 90)</f>
      </c>
      <c r="AV117" s="24308">
        <f>IF(HLOOKUP("Apps",A1:CV300,117,FALSE)=0,0,HLOOKUP("Pts",A1:CV300,117,FALSE)/HLOOKUP("Apps",A1:CV300,117,FALSE)* 1)</f>
      </c>
      <c r="AW117" s="24309">
        <f>IF(HLOOKUP("Mins",A1:CV300,117,FALSE)=0,0,HLOOKUP("Gs",A1:CV300,117,FALSE)/HLOOKUP("Mins",A1:CV300,117,FALSE)* 90)</f>
      </c>
      <c r="AX117" s="24310">
        <f>IF(HLOOKUP("Mins",A1:CV300,117,FALSE)=0,0,HLOOKUP("Bonus",A1:CV300,117,FALSE)/HLOOKUP("Mins",A1:CV300,117,FALSE)* 90)</f>
      </c>
      <c r="AY117" s="24311">
        <f>IF(HLOOKUP("Mins",A1:CV300,117,FALSE)=0,0,HLOOKUP("BPS",A1:CV300,117,FALSE)/HLOOKUP("Mins",A1:CV300,117,FALSE)* 90)</f>
      </c>
      <c r="AZ117" s="24312">
        <f>IF(HLOOKUP("Mins",A1:CV300,117,FALSE)=0,0,HLOOKUP("Base BPS",A1:CV300,117,FALSE)/HLOOKUP("Mins",A1:CV300,117,FALSE)* 90)</f>
      </c>
      <c r="BA117" s="24313">
        <f>IF(HLOOKUP("Mins",A1:CV300,117,FALSE)=0,0,HLOOKUP("PenTchs",A1:CV300,117,FALSE)/HLOOKUP("Mins",A1:CV300,117,FALSE)* 90)</f>
      </c>
      <c r="BB117" s="24314">
        <f>IF(HLOOKUP("Mins",A1:CV300,117,FALSE)=0,0,HLOOKUP("Shots",A1:CV300,117,FALSE)/HLOOKUP("Mins",A1:CV300,117,FALSE)* 90)</f>
      </c>
      <c r="BC117" s="24315">
        <f>IF(HLOOKUP("Mins",A1:CV300,117,FALSE)=0,0,HLOOKUP("SIB",A1:CV300,117,FALSE)/HLOOKUP("Mins",A1:CV300,117,FALSE)* 90)</f>
      </c>
      <c r="BD117" s="24316">
        <f>IF(HLOOKUP("Mins",A1:CV300,117,FALSE)=0,0,HLOOKUP("S6YD",A1:CV300,117,FALSE)/HLOOKUP("Mins",A1:CV300,117,FALSE)* 90)</f>
      </c>
      <c r="BE117" s="24317">
        <f>IF(HLOOKUP("Mins",A1:CV300,117,FALSE)=0,0,HLOOKUP("Headers",A1:CV300,117,FALSE)/HLOOKUP("Mins",A1:CV300,117,FALSE)* 90)</f>
      </c>
      <c r="BF117" s="24318">
        <f>IF(HLOOKUP("Mins",A1:CV300,117,FALSE)=0,0,HLOOKUP("SOT",A1:CV300,117,FALSE)/HLOOKUP("Mins",A1:CV300,117,FALSE)* 90)</f>
      </c>
      <c r="BG117" s="24319">
        <f>IF(HLOOKUP("Mins",A1:CV300,117,FALSE)=0,0,HLOOKUP("As",A1:CV300,117,FALSE)/HLOOKUP("Mins",A1:CV300,117,FALSE)* 90)</f>
      </c>
      <c r="BH117" s="24320">
        <f>IF(HLOOKUP("Mins",A1:CV300,117,FALSE)=0,0,HLOOKUP("FPL As",A1:CV300,117,FALSE)/HLOOKUP("Mins",A1:CV300,117,FALSE)* 90)</f>
      </c>
      <c r="BI117" s="24321">
        <f>IF(HLOOKUP("Mins",A1:CV300,117,FALSE)=0,0,HLOOKUP("BC Created",A1:CV300,117,FALSE)/HLOOKUP("Mins",A1:CV300,117,FALSE)* 90)</f>
      </c>
      <c r="BJ117" s="24322">
        <f>IF(HLOOKUP("Mins",A1:CV300,117,FALSE)=0,0,HLOOKUP("KP",A1:CV300,117,FALSE)/HLOOKUP("Mins",A1:CV300,117,FALSE)* 90)</f>
      </c>
      <c r="BK117" s="24323">
        <f>IF(HLOOKUP("Mins",A1:CV300,117,FALSE)=0,0,HLOOKUP("BC",A1:CV300,117,FALSE)/HLOOKUP("Mins",A1:CV300,117,FALSE)* 90)</f>
      </c>
      <c r="BL117" s="24324">
        <f>IF(HLOOKUP("Mins",A1:CV300,117,FALSE)=0,0,HLOOKUP("BC Miss",A1:CV300,117,FALSE)/HLOOKUP("Mins",A1:CV300,117,FALSE)* 90)</f>
      </c>
      <c r="BM117" s="24325">
        <f>IF(HLOOKUP("Mins",A1:CV300,117,FALSE)=0,0,HLOOKUP("Gs - BC",A1:CV300,117,FALSE)/HLOOKUP("Mins",A1:CV300,117,FALSE)* 90)</f>
      </c>
      <c r="BN117" s="24326">
        <f>IF(HLOOKUP("Mins",A1:CV300,117,FALSE)=0,0,HLOOKUP("GIB",A1:CV300,117,FALSE)/HLOOKUP("Mins",A1:CV300,117,FALSE)* 90)</f>
      </c>
      <c r="BO117" s="24327">
        <f>IF(HLOOKUP("Mins",A1:CV300,117,FALSE)=0,0,HLOOKUP("Gs - Open",A1:CV300,117,FALSE)/HLOOKUP("Mins",A1:CV300,117,FALSE)* 90)</f>
      </c>
      <c r="BP117" s="24328">
        <f>IF(HLOOKUP("Mins",A1:CV300,117,FALSE)=0,0,HLOOKUP("ICT Index",A1:CV300,117,FALSE)/HLOOKUP("Mins",A1:CV300,117,FALSE)* 90)</f>
      </c>
      <c r="BQ117" s="24329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</c>
      <c r="BR117" s="24330">
        <f>0.0885*HLOOKUP("KP/90",A1:CV300,117,FALSE)</f>
      </c>
      <c r="BS117" s="24331">
        <f>5*HLOOKUP("xG/90",A1:CV300,117,FALSE)+3*HLOOKUP("xA/90",A1:CV300,117,FALSE)</f>
      </c>
      <c r="BT117" s="24332">
        <f>HLOOKUP("xPts/90",A1:CV300,117,FALSE)-(5*0.75*(HLOOKUP("PK Gs",A1:CV300,117,FALSE)+HLOOKUP("PK Miss",A1:CV300,117,FALSE))*90/HLOOKUP("Mins",A1:CV300,117,FALSE))</f>
      </c>
      <c r="BU117" s="24333">
        <f>IF(HLOOKUP("Mins",A1:CV300,117,FALSE)=0,0,HLOOKUP("fsXG",A1:CV300,117,FALSE)/HLOOKUP("Mins",A1:CV300,117,FALSE)* 90)</f>
      </c>
      <c r="BV117" s="24334">
        <f>IF(HLOOKUP("Mins",A1:CV300,117,FALSE)=0,0,HLOOKUP("fsXA",A1:CV300,117,FALSE)/HLOOKUP("Mins",A1:CV300,117,FALSE)* 90)</f>
      </c>
      <c r="BW117" s="24335">
        <f>5*HLOOKUP("fsXG/90",A1:CV300,117,FALSE)+3*HLOOKUP("fsXA/90",A1:CV300,117,FALSE)</f>
      </c>
      <c r="BX117" t="n" s="24336">
        <v>0.24014657735824585</v>
      </c>
      <c r="BY117" t="n" s="24337">
        <v>0.07384712249040604</v>
      </c>
      <c r="BZ117" s="24338">
        <f>5*HLOOKUP("uXG/90",A1:CV300,117,FALSE)+3*HLOOKUP("uXA/90",A1:CV300,117,FALSE)</f>
      </c>
    </row>
    <row r="118">
      <c r="A118" t="s" s="24339">
        <v>409</v>
      </c>
      <c r="B118" t="s" s="24340">
        <v>107</v>
      </c>
      <c r="C118" t="n" s="24341">
        <v>5.199999809265137</v>
      </c>
      <c r="D118" t="n" s="24342">
        <v>536.0</v>
      </c>
      <c r="E118" t="n" s="24343">
        <v>6.0</v>
      </c>
      <c r="F118" t="n" s="24344">
        <v>57.0</v>
      </c>
      <c r="G118" t="n" s="24345">
        <v>0.0</v>
      </c>
      <c r="H118" t="n" s="24346">
        <v>2.0</v>
      </c>
      <c r="I118" t="n" s="24347">
        <v>252.0</v>
      </c>
      <c r="J118" s="24348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4349">
        <v>0.0</v>
      </c>
      <c r="L118" t="n" s="24350">
        <v>7.0</v>
      </c>
      <c r="M118" t="n" s="24351">
        <v>19.0</v>
      </c>
      <c r="N118" t="n" s="24352">
        <v>7.0</v>
      </c>
      <c r="O118" t="n" s="24353">
        <v>4.0</v>
      </c>
      <c r="P118" s="24354">
        <f>IF(HLOOKUP("Shots",A1:CV300,118,FALSE)=0,0,HLOOKUP("SIB",A1:CV300,118,FALSE)/HLOOKUP("Shots",A1:CV300,118,FALSE))</f>
      </c>
      <c r="Q118" t="n" s="24355">
        <v>1.0</v>
      </c>
      <c r="R118" s="24356">
        <f>IF(HLOOKUP("Shots",A1:CV300,118,FALSE)=0,0,HLOOKUP("S6YD",A1:CV300,118,FALSE)/HLOOKUP("Shots",A1:CV300,118,FALSE))</f>
      </c>
      <c r="S118" t="n" s="24357">
        <v>0.0</v>
      </c>
      <c r="T118" s="24358">
        <f>IF(HLOOKUP("Shots",A1:CV300,118,FALSE)=0,0,HLOOKUP("Headers",A1:CV300,118,FALSE)/HLOOKUP("Shots",A1:CV300,118,FALSE))</f>
      </c>
      <c r="U118" t="n" s="24359">
        <v>2.0</v>
      </c>
      <c r="V118" s="24360">
        <f>IF(HLOOKUP("Shots",A1:CV300,118,FALSE)=0,0,HLOOKUP("SOT",A1:CV300,118,FALSE)/HLOOKUP("Shots",A1:CV300,118,FALSE))</f>
      </c>
      <c r="W118" s="24361">
        <f>IF(HLOOKUP("Shots",A1:CV300,118,FALSE)=0,0,HLOOKUP("Gs",A1:CV300,118,FALSE)/HLOOKUP("Shots",A1:CV300,118,FALSE))</f>
      </c>
      <c r="X118" t="n" s="24362">
        <v>0.0</v>
      </c>
      <c r="Y118" t="n" s="24363">
        <v>3.0</v>
      </c>
      <c r="Z118" t="n" s="24364">
        <v>1.0</v>
      </c>
      <c r="AA118" s="24365">
        <f>IF(HLOOKUP("KP",A1:CV300,118,FALSE)=0,0,HLOOKUP("As",A1:CV300,118,FALSE)/HLOOKUP("KP",A1:CV300,118,FALSE))</f>
      </c>
      <c r="AB118" s="24366"/>
      <c r="AC118" t="n" s="24367">
        <v>0.0</v>
      </c>
      <c r="AD118" t="n" s="24368">
        <v>0.0</v>
      </c>
      <c r="AE118" t="n" s="24369">
        <v>2.0</v>
      </c>
      <c r="AF118" t="n" s="24370">
        <v>2.0</v>
      </c>
      <c r="AG118" s="24371">
        <f>IF(HLOOKUP("BC",A1:CV300,118,FALSE)=0,0,HLOOKUP("Gs - BC",A1:CV300,118,FALSE)/HLOOKUP("BC",A1:CV300,118,FALSE))</f>
      </c>
      <c r="AH118" s="24372">
        <f>HLOOKUP("BC",A1:CV300,118,FALSE) - HLOOKUP("BC Miss",A1:CV300,118,FALSE)</f>
      </c>
      <c r="AI118" s="24373">
        <f>IF(HLOOKUP("Gs",A1:CV300,118,FALSE)=0,0,HLOOKUP("Gs - BC",A1:CV300,118,FALSE)/HLOOKUP("Gs",A1:CV300,118,FALSE))</f>
      </c>
      <c r="AJ118" t="n" s="24374">
        <v>0.0</v>
      </c>
      <c r="AK118" t="n" s="24375">
        <v>0.0</v>
      </c>
      <c r="AL118" s="24376">
        <f>HLOOKUP("BC",A1:CV300,118,FALSE) - (HLOOKUP("PK Gs",A1:CV300,118,FALSE) + HLOOKUP("PK Miss",A1:CV300,118,FALSE))</f>
      </c>
      <c r="AM118" s="24377">
        <f>HLOOKUP("BC Miss",A1:CV300,118,FALSE) - HLOOKUP("PK Miss",A1:CV300,118,FALSE)</f>
      </c>
      <c r="AN118" s="24378">
        <f>IF(HLOOKUP("BC - Open",A1:CV300,118,FALSE)=0,0,HLOOKUP("BC - Open Miss",A1:CV300,118,FALSE)/HLOOKUP("BC - Open",A1:CV300,118,FALSE))</f>
      </c>
      <c r="AO118" t="n" s="24379">
        <v>0.0</v>
      </c>
      <c r="AP118" s="24380">
        <f>IF(HLOOKUP("Gs",A1:CV300,118,FALSE)=0,0,HLOOKUP("GIB",A1:CV300,118,FALSE)/HLOOKUP("Gs",A1:CV300,118,FALSE))</f>
      </c>
      <c r="AQ118" t="n" s="24381">
        <v>0.0</v>
      </c>
      <c r="AR118" s="24382">
        <f>IF(HLOOKUP("Gs",A1:CV300,118,FALSE)=0,0,HLOOKUP("Gs - Open",A1:CV300,118,FALSE)/HLOOKUP("Gs",A1:CV300,118,FALSE))</f>
      </c>
      <c r="AS118" t="n" s="24383">
        <v>0.77</v>
      </c>
      <c r="AT118" t="n" s="24384">
        <v>0.2</v>
      </c>
      <c r="AU118" s="24385">
        <f>IF(HLOOKUP("Mins",A1:CV300,118,FALSE)=0,0,HLOOKUP("Pts",A1:CV300,118,FALSE)/HLOOKUP("Mins",A1:CV300,118,FALSE)* 90)</f>
      </c>
      <c r="AV118" s="24386">
        <f>IF(HLOOKUP("Apps",A1:CV300,118,FALSE)=0,0,HLOOKUP("Pts",A1:CV300,118,FALSE)/HLOOKUP("Apps",A1:CV300,118,FALSE)* 1)</f>
      </c>
      <c r="AW118" s="24387">
        <f>IF(HLOOKUP("Mins",A1:CV300,118,FALSE)=0,0,HLOOKUP("Gs",A1:CV300,118,FALSE)/HLOOKUP("Mins",A1:CV300,118,FALSE)* 90)</f>
      </c>
      <c r="AX118" s="24388">
        <f>IF(HLOOKUP("Mins",A1:CV300,118,FALSE)=0,0,HLOOKUP("Bonus",A1:CV300,118,FALSE)/HLOOKUP("Mins",A1:CV300,118,FALSE)* 90)</f>
      </c>
      <c r="AY118" s="24389">
        <f>IF(HLOOKUP("Mins",A1:CV300,118,FALSE)=0,0,HLOOKUP("BPS",A1:CV300,118,FALSE)/HLOOKUP("Mins",A1:CV300,118,FALSE)* 90)</f>
      </c>
      <c r="AZ118" s="24390">
        <f>IF(HLOOKUP("Mins",A1:CV300,118,FALSE)=0,0,HLOOKUP("Base BPS",A1:CV300,118,FALSE)/HLOOKUP("Mins",A1:CV300,118,FALSE)* 90)</f>
      </c>
      <c r="BA118" s="24391">
        <f>IF(HLOOKUP("Mins",A1:CV300,118,FALSE)=0,0,HLOOKUP("PenTchs",A1:CV300,118,FALSE)/HLOOKUP("Mins",A1:CV300,118,FALSE)* 90)</f>
      </c>
      <c r="BB118" s="24392">
        <f>IF(HLOOKUP("Mins",A1:CV300,118,FALSE)=0,0,HLOOKUP("Shots",A1:CV300,118,FALSE)/HLOOKUP("Mins",A1:CV300,118,FALSE)* 90)</f>
      </c>
      <c r="BC118" s="24393">
        <f>IF(HLOOKUP("Mins",A1:CV300,118,FALSE)=0,0,HLOOKUP("SIB",A1:CV300,118,FALSE)/HLOOKUP("Mins",A1:CV300,118,FALSE)* 90)</f>
      </c>
      <c r="BD118" s="24394">
        <f>IF(HLOOKUP("Mins",A1:CV300,118,FALSE)=0,0,HLOOKUP("S6YD",A1:CV300,118,FALSE)/HLOOKUP("Mins",A1:CV300,118,FALSE)* 90)</f>
      </c>
      <c r="BE118" s="24395">
        <f>IF(HLOOKUP("Mins",A1:CV300,118,FALSE)=0,0,HLOOKUP("Headers",A1:CV300,118,FALSE)/HLOOKUP("Mins",A1:CV300,118,FALSE)* 90)</f>
      </c>
      <c r="BF118" s="24396">
        <f>IF(HLOOKUP("Mins",A1:CV300,118,FALSE)=0,0,HLOOKUP("SOT",A1:CV300,118,FALSE)/HLOOKUP("Mins",A1:CV300,118,FALSE)* 90)</f>
      </c>
      <c r="BG118" s="24397">
        <f>IF(HLOOKUP("Mins",A1:CV300,118,FALSE)=0,0,HLOOKUP("As",A1:CV300,118,FALSE)/HLOOKUP("Mins",A1:CV300,118,FALSE)* 90)</f>
      </c>
      <c r="BH118" s="24398">
        <f>IF(HLOOKUP("Mins",A1:CV300,118,FALSE)=0,0,HLOOKUP("FPL As",A1:CV300,118,FALSE)/HLOOKUP("Mins",A1:CV300,118,FALSE)* 90)</f>
      </c>
      <c r="BI118" s="24399">
        <f>IF(HLOOKUP("Mins",A1:CV300,118,FALSE)=0,0,HLOOKUP("BC Created",A1:CV300,118,FALSE)/HLOOKUP("Mins",A1:CV300,118,FALSE)* 90)</f>
      </c>
      <c r="BJ118" s="24400">
        <f>IF(HLOOKUP("Mins",A1:CV300,118,FALSE)=0,0,HLOOKUP("KP",A1:CV300,118,FALSE)/HLOOKUP("Mins",A1:CV300,118,FALSE)* 90)</f>
      </c>
      <c r="BK118" s="24401">
        <f>IF(HLOOKUP("Mins",A1:CV300,118,FALSE)=0,0,HLOOKUP("BC",A1:CV300,118,FALSE)/HLOOKUP("Mins",A1:CV300,118,FALSE)* 90)</f>
      </c>
      <c r="BL118" s="24402">
        <f>IF(HLOOKUP("Mins",A1:CV300,118,FALSE)=0,0,HLOOKUP("BC Miss",A1:CV300,118,FALSE)/HLOOKUP("Mins",A1:CV300,118,FALSE)* 90)</f>
      </c>
      <c r="BM118" s="24403">
        <f>IF(HLOOKUP("Mins",A1:CV300,118,FALSE)=0,0,HLOOKUP("Gs - BC",A1:CV300,118,FALSE)/HLOOKUP("Mins",A1:CV300,118,FALSE)* 90)</f>
      </c>
      <c r="BN118" s="24404">
        <f>IF(HLOOKUP("Mins",A1:CV300,118,FALSE)=0,0,HLOOKUP("GIB",A1:CV300,118,FALSE)/HLOOKUP("Mins",A1:CV300,118,FALSE)* 90)</f>
      </c>
      <c r="BO118" s="24405">
        <f>IF(HLOOKUP("Mins",A1:CV300,118,FALSE)=0,0,HLOOKUP("Gs - Open",A1:CV300,118,FALSE)/HLOOKUP("Mins",A1:CV300,118,FALSE)* 90)</f>
      </c>
      <c r="BP118" s="24406">
        <f>IF(HLOOKUP("Mins",A1:CV300,118,FALSE)=0,0,HLOOKUP("ICT Index",A1:CV300,118,FALSE)/HLOOKUP("Mins",A1:CV300,118,FALSE)* 90)</f>
      </c>
      <c r="BQ118" s="24407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4408">
        <f>0.0885*HLOOKUP("KP/90",A1:CV300,118,FALSE)</f>
      </c>
      <c r="BS118" s="24409">
        <f>5*HLOOKUP("xG/90",A1:CV300,118,FALSE)+3*HLOOKUP("xA/90",A1:CV300,118,FALSE)</f>
      </c>
      <c r="BT118" s="24410">
        <f>HLOOKUP("xPts/90",A1:CV300,118,FALSE)-(5*0.75*(HLOOKUP("PK Gs",A1:CV300,118,FALSE)+HLOOKUP("PK Miss",A1:CV300,118,FALSE))*90/HLOOKUP("Mins",A1:CV300,118,FALSE))</f>
      </c>
      <c r="BU118" s="24411">
        <f>IF(HLOOKUP("Mins",A1:CV300,118,FALSE)=0,0,HLOOKUP("fsXG",A1:CV300,118,FALSE)/HLOOKUP("Mins",A1:CV300,118,FALSE)* 90)</f>
      </c>
      <c r="BV118" s="24412">
        <f>IF(HLOOKUP("Mins",A1:CV300,118,FALSE)=0,0,HLOOKUP("fsXA",A1:CV300,118,FALSE)/HLOOKUP("Mins",A1:CV300,118,FALSE)* 90)</f>
      </c>
      <c r="BW118" s="24413">
        <f>5*HLOOKUP("fsXG/90",A1:CV300,118,FALSE)+3*HLOOKUP("fsXA/90",A1:CV300,118,FALSE)</f>
      </c>
      <c r="BX118" t="n" s="24414">
        <v>0.1352406144142151</v>
      </c>
      <c r="BY118" t="n" s="24415">
        <v>0.002857157262042165</v>
      </c>
      <c r="BZ118" s="24416">
        <f>5*HLOOKUP("uXG/90",A1:CV300,118,FALSE)+3*HLOOKUP("uXA/90",A1:CV300,118,FALSE)</f>
      </c>
    </row>
    <row r="119">
      <c r="A119" t="s" s="24417">
        <v>410</v>
      </c>
      <c r="B119" t="s" s="24418">
        <v>94</v>
      </c>
      <c r="C119" t="n" s="24419">
        <v>9.800000190734863</v>
      </c>
      <c r="D119" t="n" s="24420">
        <v>241.0</v>
      </c>
      <c r="E119" t="n" s="24421">
        <v>3.0</v>
      </c>
      <c r="F119" t="n" s="24422">
        <v>91.0</v>
      </c>
      <c r="G119" t="n" s="24423">
        <v>0.0</v>
      </c>
      <c r="H119" t="n" s="24424">
        <v>10.0</v>
      </c>
      <c r="I119" t="n" s="24425">
        <v>303.0</v>
      </c>
      <c r="J119" s="24426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4427">
        <v>0.0</v>
      </c>
      <c r="L119" t="n" s="24428">
        <v>2.0</v>
      </c>
      <c r="M119" t="n" s="24429">
        <v>7.0</v>
      </c>
      <c r="N119" t="n" s="24430">
        <v>6.0</v>
      </c>
      <c r="O119" t="n" s="24431">
        <v>4.0</v>
      </c>
      <c r="P119" s="24432">
        <f>IF(HLOOKUP("Shots",A1:CV300,119,FALSE)=0,0,HLOOKUP("SIB",A1:CV300,119,FALSE)/HLOOKUP("Shots",A1:CV300,119,FALSE))</f>
      </c>
      <c r="Q119" t="n" s="24433">
        <v>0.0</v>
      </c>
      <c r="R119" s="24434">
        <f>IF(HLOOKUP("Shots",A1:CV300,119,FALSE)=0,0,HLOOKUP("S6YD",A1:CV300,119,FALSE)/HLOOKUP("Shots",A1:CV300,119,FALSE))</f>
      </c>
      <c r="S119" t="n" s="24435">
        <v>0.0</v>
      </c>
      <c r="T119" s="24436">
        <f>IF(HLOOKUP("Shots",A1:CV300,119,FALSE)=0,0,HLOOKUP("Headers",A1:CV300,119,FALSE)/HLOOKUP("Shots",A1:CV300,119,FALSE))</f>
      </c>
      <c r="U119" t="n" s="24437">
        <v>2.0</v>
      </c>
      <c r="V119" s="24438">
        <f>IF(HLOOKUP("Shots",A1:CV300,119,FALSE)=0,0,HLOOKUP("SOT",A1:CV300,119,FALSE)/HLOOKUP("Shots",A1:CV300,119,FALSE))</f>
      </c>
      <c r="W119" s="24439">
        <f>IF(HLOOKUP("Shots",A1:CV300,119,FALSE)=0,0,HLOOKUP("Gs",A1:CV300,119,FALSE)/HLOOKUP("Shots",A1:CV300,119,FALSE))</f>
      </c>
      <c r="X119" t="n" s="24440">
        <v>0.0</v>
      </c>
      <c r="Y119" t="n" s="24441">
        <v>9.0</v>
      </c>
      <c r="Z119" t="n" s="24442">
        <v>0.0</v>
      </c>
      <c r="AA119" s="24443">
        <f>IF(HLOOKUP("KP",A1:CV300,119,FALSE)=0,0,HLOOKUP("As",A1:CV300,119,FALSE)/HLOOKUP("KP",A1:CV300,119,FALSE))</f>
      </c>
      <c r="AB119" s="24444"/>
      <c r="AC119" t="n" s="24445">
        <v>0.0</v>
      </c>
      <c r="AD119" t="n" s="24446">
        <v>0.0</v>
      </c>
      <c r="AE119" t="n" s="24447">
        <v>0.0</v>
      </c>
      <c r="AF119" t="n" s="24448">
        <v>0.0</v>
      </c>
      <c r="AG119" s="24449">
        <f>IF(HLOOKUP("BC",A1:CV300,119,FALSE)=0,0,HLOOKUP("Gs - BC",A1:CV300,119,FALSE)/HLOOKUP("BC",A1:CV300,119,FALSE))</f>
      </c>
      <c r="AH119" s="24450">
        <f>HLOOKUP("BC",A1:CV300,119,FALSE) - HLOOKUP("BC Miss",A1:CV300,119,FALSE)</f>
      </c>
      <c r="AI119" s="24451">
        <f>IF(HLOOKUP("Gs",A1:CV300,119,FALSE)=0,0,HLOOKUP("Gs - BC",A1:CV300,119,FALSE)/HLOOKUP("Gs",A1:CV300,119,FALSE))</f>
      </c>
      <c r="AJ119" t="n" s="24452">
        <v>0.0</v>
      </c>
      <c r="AK119" t="n" s="24453">
        <v>0.0</v>
      </c>
      <c r="AL119" s="24454">
        <f>HLOOKUP("BC",A1:CV300,119,FALSE) - (HLOOKUP("PK Gs",A1:CV300,119,FALSE) + HLOOKUP("PK Miss",A1:CV300,119,FALSE))</f>
      </c>
      <c r="AM119" s="24455">
        <f>HLOOKUP("BC Miss",A1:CV300,119,FALSE) - HLOOKUP("PK Miss",A1:CV300,119,FALSE)</f>
      </c>
      <c r="AN119" s="24456">
        <f>IF(HLOOKUP("BC - Open",A1:CV300,119,FALSE)=0,0,HLOOKUP("BC - Open Miss",A1:CV300,119,FALSE)/HLOOKUP("BC - Open",A1:CV300,119,FALSE))</f>
      </c>
      <c r="AO119" t="n" s="24457">
        <v>0.0</v>
      </c>
      <c r="AP119" s="24458">
        <f>IF(HLOOKUP("Gs",A1:CV300,119,FALSE)=0,0,HLOOKUP("GIB",A1:CV300,119,FALSE)/HLOOKUP("Gs",A1:CV300,119,FALSE))</f>
      </c>
      <c r="AQ119" t="n" s="24459">
        <v>0.0</v>
      </c>
      <c r="AR119" s="24460">
        <f>IF(HLOOKUP("Gs",A1:CV300,119,FALSE)=0,0,HLOOKUP("Gs - Open",A1:CV300,119,FALSE)/HLOOKUP("Gs",A1:CV300,119,FALSE))</f>
      </c>
      <c r="AS119" t="n" s="24461">
        <v>0.31</v>
      </c>
      <c r="AT119" t="n" s="24462">
        <v>0.15</v>
      </c>
      <c r="AU119" s="24463">
        <f>IF(HLOOKUP("Mins",A1:CV300,119,FALSE)=0,0,HLOOKUP("Pts",A1:CV300,119,FALSE)/HLOOKUP("Mins",A1:CV300,119,FALSE)* 90)</f>
      </c>
      <c r="AV119" s="24464">
        <f>IF(HLOOKUP("Apps",A1:CV300,119,FALSE)=0,0,HLOOKUP("Pts",A1:CV300,119,FALSE)/HLOOKUP("Apps",A1:CV300,119,FALSE)* 1)</f>
      </c>
      <c r="AW119" s="24465">
        <f>IF(HLOOKUP("Mins",A1:CV300,119,FALSE)=0,0,HLOOKUP("Gs",A1:CV300,119,FALSE)/HLOOKUP("Mins",A1:CV300,119,FALSE)* 90)</f>
      </c>
      <c r="AX119" s="24466">
        <f>IF(HLOOKUP("Mins",A1:CV300,119,FALSE)=0,0,HLOOKUP("Bonus",A1:CV300,119,FALSE)/HLOOKUP("Mins",A1:CV300,119,FALSE)* 90)</f>
      </c>
      <c r="AY119" s="24467">
        <f>IF(HLOOKUP("Mins",A1:CV300,119,FALSE)=0,0,HLOOKUP("BPS",A1:CV300,119,FALSE)/HLOOKUP("Mins",A1:CV300,119,FALSE)* 90)</f>
      </c>
      <c r="AZ119" s="24468">
        <f>IF(HLOOKUP("Mins",A1:CV300,119,FALSE)=0,0,HLOOKUP("Base BPS",A1:CV300,119,FALSE)/HLOOKUP("Mins",A1:CV300,119,FALSE)* 90)</f>
      </c>
      <c r="BA119" s="24469">
        <f>IF(HLOOKUP("Mins",A1:CV300,119,FALSE)=0,0,HLOOKUP("PenTchs",A1:CV300,119,FALSE)/HLOOKUP("Mins",A1:CV300,119,FALSE)* 90)</f>
      </c>
      <c r="BB119" s="24470">
        <f>IF(HLOOKUP("Mins",A1:CV300,119,FALSE)=0,0,HLOOKUP("Shots",A1:CV300,119,FALSE)/HLOOKUP("Mins",A1:CV300,119,FALSE)* 90)</f>
      </c>
      <c r="BC119" s="24471">
        <f>IF(HLOOKUP("Mins",A1:CV300,119,FALSE)=0,0,HLOOKUP("SIB",A1:CV300,119,FALSE)/HLOOKUP("Mins",A1:CV300,119,FALSE)* 90)</f>
      </c>
      <c r="BD119" s="24472">
        <f>IF(HLOOKUP("Mins",A1:CV300,119,FALSE)=0,0,HLOOKUP("S6YD",A1:CV300,119,FALSE)/HLOOKUP("Mins",A1:CV300,119,FALSE)* 90)</f>
      </c>
      <c r="BE119" s="24473">
        <f>IF(HLOOKUP("Mins",A1:CV300,119,FALSE)=0,0,HLOOKUP("Headers",A1:CV300,119,FALSE)/HLOOKUP("Mins",A1:CV300,119,FALSE)* 90)</f>
      </c>
      <c r="BF119" s="24474">
        <f>IF(HLOOKUP("Mins",A1:CV300,119,FALSE)=0,0,HLOOKUP("SOT",A1:CV300,119,FALSE)/HLOOKUP("Mins",A1:CV300,119,FALSE)* 90)</f>
      </c>
      <c r="BG119" s="24475">
        <f>IF(HLOOKUP("Mins",A1:CV300,119,FALSE)=0,0,HLOOKUP("As",A1:CV300,119,FALSE)/HLOOKUP("Mins",A1:CV300,119,FALSE)* 90)</f>
      </c>
      <c r="BH119" s="24476">
        <f>IF(HLOOKUP("Mins",A1:CV300,119,FALSE)=0,0,HLOOKUP("FPL As",A1:CV300,119,FALSE)/HLOOKUP("Mins",A1:CV300,119,FALSE)* 90)</f>
      </c>
      <c r="BI119" s="24477">
        <f>IF(HLOOKUP("Mins",A1:CV300,119,FALSE)=0,0,HLOOKUP("BC Created",A1:CV300,119,FALSE)/HLOOKUP("Mins",A1:CV300,119,FALSE)* 90)</f>
      </c>
      <c r="BJ119" s="24478">
        <f>IF(HLOOKUP("Mins",A1:CV300,119,FALSE)=0,0,HLOOKUP("KP",A1:CV300,119,FALSE)/HLOOKUP("Mins",A1:CV300,119,FALSE)* 90)</f>
      </c>
      <c r="BK119" s="24479">
        <f>IF(HLOOKUP("Mins",A1:CV300,119,FALSE)=0,0,HLOOKUP("BC",A1:CV300,119,FALSE)/HLOOKUP("Mins",A1:CV300,119,FALSE)* 90)</f>
      </c>
      <c r="BL119" s="24480">
        <f>IF(HLOOKUP("Mins",A1:CV300,119,FALSE)=0,0,HLOOKUP("BC Miss",A1:CV300,119,FALSE)/HLOOKUP("Mins",A1:CV300,119,FALSE)* 90)</f>
      </c>
      <c r="BM119" s="24481">
        <f>IF(HLOOKUP("Mins",A1:CV300,119,FALSE)=0,0,HLOOKUP("Gs - BC",A1:CV300,119,FALSE)/HLOOKUP("Mins",A1:CV300,119,FALSE)* 90)</f>
      </c>
      <c r="BN119" s="24482">
        <f>IF(HLOOKUP("Mins",A1:CV300,119,FALSE)=0,0,HLOOKUP("GIB",A1:CV300,119,FALSE)/HLOOKUP("Mins",A1:CV300,119,FALSE)* 90)</f>
      </c>
      <c r="BO119" s="24483">
        <f>IF(HLOOKUP("Mins",A1:CV300,119,FALSE)=0,0,HLOOKUP("Gs - Open",A1:CV300,119,FALSE)/HLOOKUP("Mins",A1:CV300,119,FALSE)* 90)</f>
      </c>
      <c r="BP119" s="24484">
        <f>IF(HLOOKUP("Mins",A1:CV300,119,FALSE)=0,0,HLOOKUP("ICT Index",A1:CV300,119,FALSE)/HLOOKUP("Mins",A1:CV300,119,FALSE)* 90)</f>
      </c>
      <c r="BQ119" s="24485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4486">
        <f>0.0885*HLOOKUP("KP/90",A1:CV300,119,FALSE)</f>
      </c>
      <c r="BS119" s="24487">
        <f>5*HLOOKUP("xG/90",A1:CV300,119,FALSE)+3*HLOOKUP("xA/90",A1:CV300,119,FALSE)</f>
      </c>
      <c r="BT119" s="24488">
        <f>HLOOKUP("xPts/90",A1:CV300,119,FALSE)-(5*0.75*(HLOOKUP("PK Gs",A1:CV300,119,FALSE)+HLOOKUP("PK Miss",A1:CV300,119,FALSE))*90/HLOOKUP("Mins",A1:CV300,119,FALSE))</f>
      </c>
      <c r="BU119" s="24489">
        <f>IF(HLOOKUP("Mins",A1:CV300,119,FALSE)=0,0,HLOOKUP("fsXG",A1:CV300,119,FALSE)/HLOOKUP("Mins",A1:CV300,119,FALSE)* 90)</f>
      </c>
      <c r="BV119" s="24490">
        <f>IF(HLOOKUP("Mins",A1:CV300,119,FALSE)=0,0,HLOOKUP("fsXA",A1:CV300,119,FALSE)/HLOOKUP("Mins",A1:CV300,119,FALSE)* 90)</f>
      </c>
      <c r="BW119" s="24491">
        <f>5*HLOOKUP("fsXG/90",A1:CV300,119,FALSE)+3*HLOOKUP("fsXA/90",A1:CV300,119,FALSE)</f>
      </c>
      <c r="BX119" t="n" s="24492">
        <v>0.11586696654558182</v>
      </c>
      <c r="BY119" t="n" s="24493">
        <v>0.0</v>
      </c>
      <c r="BZ119" s="24494">
        <f>5*HLOOKUP("uXG/90",A1:CV300,119,FALSE)+3*HLOOKUP("uXA/90",A1:CV300,119,FALSE)</f>
      </c>
    </row>
    <row r="120">
      <c r="A120" t="s" s="24495">
        <v>411</v>
      </c>
      <c r="B120" t="s" s="24496">
        <v>96</v>
      </c>
      <c r="C120" t="n" s="24497">
        <v>6.0</v>
      </c>
      <c r="D120" t="n" s="24498">
        <v>532.0</v>
      </c>
      <c r="E120" t="n" s="24499">
        <v>6.0</v>
      </c>
      <c r="F120" t="n" s="24500">
        <v>68.0</v>
      </c>
      <c r="G120" t="n" s="24501">
        <v>0.0</v>
      </c>
      <c r="H120" t="n" s="24502">
        <v>1.0</v>
      </c>
      <c r="I120" t="n" s="24503">
        <v>290.0</v>
      </c>
      <c r="J120" s="24504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4505">
        <v>0.0</v>
      </c>
      <c r="L120" t="n" s="24506">
        <v>8.0</v>
      </c>
      <c r="M120" t="n" s="24507">
        <v>3.0</v>
      </c>
      <c r="N120" t="n" s="24508">
        <v>5.0</v>
      </c>
      <c r="O120" t="n" s="24509">
        <v>1.0</v>
      </c>
      <c r="P120" s="24510">
        <f>IF(HLOOKUP("Shots",A1:CV300,120,FALSE)=0,0,HLOOKUP("SIB",A1:CV300,120,FALSE)/HLOOKUP("Shots",A1:CV300,120,FALSE))</f>
      </c>
      <c r="Q120" t="n" s="24511">
        <v>0.0</v>
      </c>
      <c r="R120" s="24512">
        <f>IF(HLOOKUP("Shots",A1:CV300,120,FALSE)=0,0,HLOOKUP("S6YD",A1:CV300,120,FALSE)/HLOOKUP("Shots",A1:CV300,120,FALSE))</f>
      </c>
      <c r="S120" t="n" s="24513">
        <v>0.0</v>
      </c>
      <c r="T120" s="24514">
        <f>IF(HLOOKUP("Shots",A1:CV300,120,FALSE)=0,0,HLOOKUP("Headers",A1:CV300,120,FALSE)/HLOOKUP("Shots",A1:CV300,120,FALSE))</f>
      </c>
      <c r="U120" t="n" s="24515">
        <v>2.0</v>
      </c>
      <c r="V120" s="24516">
        <f>IF(HLOOKUP("Shots",A1:CV300,120,FALSE)=0,0,HLOOKUP("SOT",A1:CV300,120,FALSE)/HLOOKUP("Shots",A1:CV300,120,FALSE))</f>
      </c>
      <c r="W120" s="24517">
        <f>IF(HLOOKUP("Shots",A1:CV300,120,FALSE)=0,0,HLOOKUP("Gs",A1:CV300,120,FALSE)/HLOOKUP("Shots",A1:CV300,120,FALSE))</f>
      </c>
      <c r="X120" t="n" s="24518">
        <v>0.0</v>
      </c>
      <c r="Y120" t="n" s="24519">
        <v>5.0</v>
      </c>
      <c r="Z120" t="n" s="24520">
        <v>8.0</v>
      </c>
      <c r="AA120" s="24521">
        <f>IF(HLOOKUP("KP",A1:CV300,120,FALSE)=0,0,HLOOKUP("As",A1:CV300,120,FALSE)/HLOOKUP("KP",A1:CV300,120,FALSE))</f>
      </c>
      <c r="AB120" s="24522"/>
      <c r="AC120" t="n" s="24523">
        <v>0.0</v>
      </c>
      <c r="AD120" t="n" s="24524">
        <v>2.0</v>
      </c>
      <c r="AE120" t="n" s="24525">
        <v>0.0</v>
      </c>
      <c r="AF120" t="n" s="24526">
        <v>0.0</v>
      </c>
      <c r="AG120" s="24527">
        <f>IF(HLOOKUP("BC",A1:CV300,120,FALSE)=0,0,HLOOKUP("Gs - BC",A1:CV300,120,FALSE)/HLOOKUP("BC",A1:CV300,120,FALSE))</f>
      </c>
      <c r="AH120" s="24528">
        <f>HLOOKUP("BC",A1:CV300,120,FALSE) - HLOOKUP("BC Miss",A1:CV300,120,FALSE)</f>
      </c>
      <c r="AI120" s="24529">
        <f>IF(HLOOKUP("Gs",A1:CV300,120,FALSE)=0,0,HLOOKUP("Gs - BC",A1:CV300,120,FALSE)/HLOOKUP("Gs",A1:CV300,120,FALSE))</f>
      </c>
      <c r="AJ120" t="n" s="24530">
        <v>0.0</v>
      </c>
      <c r="AK120" t="n" s="24531">
        <v>0.0</v>
      </c>
      <c r="AL120" s="24532">
        <f>HLOOKUP("BC",A1:CV300,120,FALSE) - (HLOOKUP("PK Gs",A1:CV300,120,FALSE) + HLOOKUP("PK Miss",A1:CV300,120,FALSE))</f>
      </c>
      <c r="AM120" s="24533">
        <f>HLOOKUP("BC Miss",A1:CV300,120,FALSE) - HLOOKUP("PK Miss",A1:CV300,120,FALSE)</f>
      </c>
      <c r="AN120" s="24534">
        <f>IF(HLOOKUP("BC - Open",A1:CV300,120,FALSE)=0,0,HLOOKUP("BC - Open Miss",A1:CV300,120,FALSE)/HLOOKUP("BC - Open",A1:CV300,120,FALSE))</f>
      </c>
      <c r="AO120" t="n" s="24535">
        <v>0.0</v>
      </c>
      <c r="AP120" s="24536">
        <f>IF(HLOOKUP("Gs",A1:CV300,120,FALSE)=0,0,HLOOKUP("GIB",A1:CV300,120,FALSE)/HLOOKUP("Gs",A1:CV300,120,FALSE))</f>
      </c>
      <c r="AQ120" t="n" s="24537">
        <v>0.0</v>
      </c>
      <c r="AR120" s="24538">
        <f>IF(HLOOKUP("Gs",A1:CV300,120,FALSE)=0,0,HLOOKUP("Gs - Open",A1:CV300,120,FALSE)/HLOOKUP("Gs",A1:CV300,120,FALSE))</f>
      </c>
      <c r="AS120" t="n" s="24539">
        <v>0.2</v>
      </c>
      <c r="AT120" t="n" s="24540">
        <v>1.12</v>
      </c>
      <c r="AU120" s="24541">
        <f>IF(HLOOKUP("Mins",A1:CV300,120,FALSE)=0,0,HLOOKUP("Pts",A1:CV300,120,FALSE)/HLOOKUP("Mins",A1:CV300,120,FALSE)* 90)</f>
      </c>
      <c r="AV120" s="24542">
        <f>IF(HLOOKUP("Apps",A1:CV300,120,FALSE)=0,0,HLOOKUP("Pts",A1:CV300,120,FALSE)/HLOOKUP("Apps",A1:CV300,120,FALSE)* 1)</f>
      </c>
      <c r="AW120" s="24543">
        <f>IF(HLOOKUP("Mins",A1:CV300,120,FALSE)=0,0,HLOOKUP("Gs",A1:CV300,120,FALSE)/HLOOKUP("Mins",A1:CV300,120,FALSE)* 90)</f>
      </c>
      <c r="AX120" s="24544">
        <f>IF(HLOOKUP("Mins",A1:CV300,120,FALSE)=0,0,HLOOKUP("Bonus",A1:CV300,120,FALSE)/HLOOKUP("Mins",A1:CV300,120,FALSE)* 90)</f>
      </c>
      <c r="AY120" s="24545">
        <f>IF(HLOOKUP("Mins",A1:CV300,120,FALSE)=0,0,HLOOKUP("BPS",A1:CV300,120,FALSE)/HLOOKUP("Mins",A1:CV300,120,FALSE)* 90)</f>
      </c>
      <c r="AZ120" s="24546">
        <f>IF(HLOOKUP("Mins",A1:CV300,120,FALSE)=0,0,HLOOKUP("Base BPS",A1:CV300,120,FALSE)/HLOOKUP("Mins",A1:CV300,120,FALSE)* 90)</f>
      </c>
      <c r="BA120" s="24547">
        <f>IF(HLOOKUP("Mins",A1:CV300,120,FALSE)=0,0,HLOOKUP("PenTchs",A1:CV300,120,FALSE)/HLOOKUP("Mins",A1:CV300,120,FALSE)* 90)</f>
      </c>
      <c r="BB120" s="24548">
        <f>IF(HLOOKUP("Mins",A1:CV300,120,FALSE)=0,0,HLOOKUP("Shots",A1:CV300,120,FALSE)/HLOOKUP("Mins",A1:CV300,120,FALSE)* 90)</f>
      </c>
      <c r="BC120" s="24549">
        <f>IF(HLOOKUP("Mins",A1:CV300,120,FALSE)=0,0,HLOOKUP("SIB",A1:CV300,120,FALSE)/HLOOKUP("Mins",A1:CV300,120,FALSE)* 90)</f>
      </c>
      <c r="BD120" s="24550">
        <f>IF(HLOOKUP("Mins",A1:CV300,120,FALSE)=0,0,HLOOKUP("S6YD",A1:CV300,120,FALSE)/HLOOKUP("Mins",A1:CV300,120,FALSE)* 90)</f>
      </c>
      <c r="BE120" s="24551">
        <f>IF(HLOOKUP("Mins",A1:CV300,120,FALSE)=0,0,HLOOKUP("Headers",A1:CV300,120,FALSE)/HLOOKUP("Mins",A1:CV300,120,FALSE)* 90)</f>
      </c>
      <c r="BF120" s="24552">
        <f>IF(HLOOKUP("Mins",A1:CV300,120,FALSE)=0,0,HLOOKUP("SOT",A1:CV300,120,FALSE)/HLOOKUP("Mins",A1:CV300,120,FALSE)* 90)</f>
      </c>
      <c r="BG120" s="24553">
        <f>IF(HLOOKUP("Mins",A1:CV300,120,FALSE)=0,0,HLOOKUP("As",A1:CV300,120,FALSE)/HLOOKUP("Mins",A1:CV300,120,FALSE)* 90)</f>
      </c>
      <c r="BH120" s="24554">
        <f>IF(HLOOKUP("Mins",A1:CV300,120,FALSE)=0,0,HLOOKUP("FPL As",A1:CV300,120,FALSE)/HLOOKUP("Mins",A1:CV300,120,FALSE)* 90)</f>
      </c>
      <c r="BI120" s="24555">
        <f>IF(HLOOKUP("Mins",A1:CV300,120,FALSE)=0,0,HLOOKUP("BC Created",A1:CV300,120,FALSE)/HLOOKUP("Mins",A1:CV300,120,FALSE)* 90)</f>
      </c>
      <c r="BJ120" s="24556">
        <f>IF(HLOOKUP("Mins",A1:CV300,120,FALSE)=0,0,HLOOKUP("KP",A1:CV300,120,FALSE)/HLOOKUP("Mins",A1:CV300,120,FALSE)* 90)</f>
      </c>
      <c r="BK120" s="24557">
        <f>IF(HLOOKUP("Mins",A1:CV300,120,FALSE)=0,0,HLOOKUP("BC",A1:CV300,120,FALSE)/HLOOKUP("Mins",A1:CV300,120,FALSE)* 90)</f>
      </c>
      <c r="BL120" s="24558">
        <f>IF(HLOOKUP("Mins",A1:CV300,120,FALSE)=0,0,HLOOKUP("BC Miss",A1:CV300,120,FALSE)/HLOOKUP("Mins",A1:CV300,120,FALSE)* 90)</f>
      </c>
      <c r="BM120" s="24559">
        <f>IF(HLOOKUP("Mins",A1:CV300,120,FALSE)=0,0,HLOOKUP("Gs - BC",A1:CV300,120,FALSE)/HLOOKUP("Mins",A1:CV300,120,FALSE)* 90)</f>
      </c>
      <c r="BN120" s="24560">
        <f>IF(HLOOKUP("Mins",A1:CV300,120,FALSE)=0,0,HLOOKUP("GIB",A1:CV300,120,FALSE)/HLOOKUP("Mins",A1:CV300,120,FALSE)* 90)</f>
      </c>
      <c r="BO120" s="24561">
        <f>IF(HLOOKUP("Mins",A1:CV300,120,FALSE)=0,0,HLOOKUP("Gs - Open",A1:CV300,120,FALSE)/HLOOKUP("Mins",A1:CV300,120,FALSE)* 90)</f>
      </c>
      <c r="BP120" s="24562">
        <f>IF(HLOOKUP("Mins",A1:CV300,120,FALSE)=0,0,HLOOKUP("ICT Index",A1:CV300,120,FALSE)/HLOOKUP("Mins",A1:CV300,120,FALSE)* 90)</f>
      </c>
      <c r="BQ120" s="24563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4564">
        <f>0.0885*HLOOKUP("KP/90",A1:CV300,120,FALSE)</f>
      </c>
      <c r="BS120" s="24565">
        <f>5*HLOOKUP("xG/90",A1:CV300,120,FALSE)+3*HLOOKUP("xA/90",A1:CV300,120,FALSE)</f>
      </c>
      <c r="BT120" s="24566">
        <f>HLOOKUP("xPts/90",A1:CV300,120,FALSE)-(5*0.75*(HLOOKUP("PK Gs",A1:CV300,120,FALSE)+HLOOKUP("PK Miss",A1:CV300,120,FALSE))*90/HLOOKUP("Mins",A1:CV300,120,FALSE))</f>
      </c>
      <c r="BU120" s="24567">
        <f>IF(HLOOKUP("Mins",A1:CV300,120,FALSE)=0,0,HLOOKUP("fsXG",A1:CV300,120,FALSE)/HLOOKUP("Mins",A1:CV300,120,FALSE)* 90)</f>
      </c>
      <c r="BV120" s="24568">
        <f>IF(HLOOKUP("Mins",A1:CV300,120,FALSE)=0,0,HLOOKUP("fsXA",A1:CV300,120,FALSE)/HLOOKUP("Mins",A1:CV300,120,FALSE)* 90)</f>
      </c>
      <c r="BW120" s="24569">
        <f>5*HLOOKUP("fsXG/90",A1:CV300,120,FALSE)+3*HLOOKUP("fsXA/90",A1:CV300,120,FALSE)</f>
      </c>
      <c r="BX120" t="n" s="24570">
        <v>0.025182021781802177</v>
      </c>
      <c r="BY120" t="n" s="24571">
        <v>0.07645558565855026</v>
      </c>
      <c r="BZ120" s="24572">
        <f>5*HLOOKUP("uXG/90",A1:CV300,120,FALSE)+3*HLOOKUP("uXA/90",A1:CV300,120,FALSE)</f>
      </c>
    </row>
    <row r="121">
      <c r="A121" t="s" s="24573">
        <v>412</v>
      </c>
      <c r="B121" t="s" s="24574">
        <v>144</v>
      </c>
      <c r="C121" t="n" s="24575">
        <v>6.0</v>
      </c>
      <c r="D121" t="n" s="24576">
        <v>323.0</v>
      </c>
      <c r="E121" t="n" s="24577">
        <v>5.0</v>
      </c>
      <c r="F121" t="n" s="24578">
        <v>73.0</v>
      </c>
      <c r="G121" t="n" s="24579">
        <v>0.0</v>
      </c>
      <c r="H121" t="n" s="24580">
        <v>2.0</v>
      </c>
      <c r="I121" t="n" s="24581">
        <v>259.0</v>
      </c>
      <c r="J121" s="24582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4583">
        <v>0.0</v>
      </c>
      <c r="L121" t="n" s="24584">
        <v>3.0</v>
      </c>
      <c r="M121" t="n" s="24585">
        <v>7.0</v>
      </c>
      <c r="N121" t="n" s="24586">
        <v>8.0</v>
      </c>
      <c r="O121" t="n" s="24587">
        <v>5.0</v>
      </c>
      <c r="P121" s="24588">
        <f>IF(HLOOKUP("Shots",A1:CV300,121,FALSE)=0,0,HLOOKUP("SIB",A1:CV300,121,FALSE)/HLOOKUP("Shots",A1:CV300,121,FALSE))</f>
      </c>
      <c r="Q121" t="n" s="24589">
        <v>0.0</v>
      </c>
      <c r="R121" s="24590">
        <f>IF(HLOOKUP("Shots",A1:CV300,121,FALSE)=0,0,HLOOKUP("S6YD",A1:CV300,121,FALSE)/HLOOKUP("Shots",A1:CV300,121,FALSE))</f>
      </c>
      <c r="S121" t="n" s="24591">
        <v>0.0</v>
      </c>
      <c r="T121" s="24592">
        <f>IF(HLOOKUP("Shots",A1:CV300,121,FALSE)=0,0,HLOOKUP("Headers",A1:CV300,121,FALSE)/HLOOKUP("Shots",A1:CV300,121,FALSE))</f>
      </c>
      <c r="U121" t="n" s="24593">
        <v>2.0</v>
      </c>
      <c r="V121" s="24594">
        <f>IF(HLOOKUP("Shots",A1:CV300,121,FALSE)=0,0,HLOOKUP("SOT",A1:CV300,121,FALSE)/HLOOKUP("Shots",A1:CV300,121,FALSE))</f>
      </c>
      <c r="W121" s="24595">
        <f>IF(HLOOKUP("Shots",A1:CV300,121,FALSE)=0,0,HLOOKUP("Gs",A1:CV300,121,FALSE)/HLOOKUP("Shots",A1:CV300,121,FALSE))</f>
      </c>
      <c r="X121" t="n" s="24596">
        <v>2.0</v>
      </c>
      <c r="Y121" t="n" s="24597">
        <v>6.0</v>
      </c>
      <c r="Z121" t="n" s="24598">
        <v>5.0</v>
      </c>
      <c r="AA121" s="24599">
        <f>IF(HLOOKUP("KP",A1:CV300,121,FALSE)=0,0,HLOOKUP("As",A1:CV300,121,FALSE)/HLOOKUP("KP",A1:CV300,121,FALSE))</f>
      </c>
      <c r="AB121" s="24600"/>
      <c r="AC121" t="n" s="24601">
        <v>50.0</v>
      </c>
      <c r="AD121" t="n" s="24602">
        <v>1.0</v>
      </c>
      <c r="AE121" t="n" s="24603">
        <v>0.0</v>
      </c>
      <c r="AF121" t="n" s="24604">
        <v>0.0</v>
      </c>
      <c r="AG121" s="24605">
        <f>IF(HLOOKUP("BC",A1:CV300,121,FALSE)=0,0,HLOOKUP("Gs - BC",A1:CV300,121,FALSE)/HLOOKUP("BC",A1:CV300,121,FALSE))</f>
      </c>
      <c r="AH121" s="24606">
        <f>HLOOKUP("BC",A1:CV300,121,FALSE) - HLOOKUP("BC Miss",A1:CV300,121,FALSE)</f>
      </c>
      <c r="AI121" s="24607">
        <f>IF(HLOOKUP("Gs",A1:CV300,121,FALSE)=0,0,HLOOKUP("Gs - BC",A1:CV300,121,FALSE)/HLOOKUP("Gs",A1:CV300,121,FALSE))</f>
      </c>
      <c r="AJ121" t="n" s="24608">
        <v>0.0</v>
      </c>
      <c r="AK121" t="n" s="24609">
        <v>0.0</v>
      </c>
      <c r="AL121" s="24610">
        <f>HLOOKUP("BC",A1:CV300,121,FALSE) - (HLOOKUP("PK Gs",A1:CV300,121,FALSE) + HLOOKUP("PK Miss",A1:CV300,121,FALSE))</f>
      </c>
      <c r="AM121" s="24611">
        <f>HLOOKUP("BC Miss",A1:CV300,121,FALSE) - HLOOKUP("PK Miss",A1:CV300,121,FALSE)</f>
      </c>
      <c r="AN121" s="24612">
        <f>IF(HLOOKUP("BC - Open",A1:CV300,121,FALSE)=0,0,HLOOKUP("BC - Open Miss",A1:CV300,121,FALSE)/HLOOKUP("BC - Open",A1:CV300,121,FALSE))</f>
      </c>
      <c r="AO121" t="n" s="24613">
        <v>0.0</v>
      </c>
      <c r="AP121" s="24614">
        <f>IF(HLOOKUP("Gs",A1:CV300,121,FALSE)=0,0,HLOOKUP("GIB",A1:CV300,121,FALSE)/HLOOKUP("Gs",A1:CV300,121,FALSE))</f>
      </c>
      <c r="AQ121" t="n" s="24615">
        <v>0.0</v>
      </c>
      <c r="AR121" s="24616">
        <f>IF(HLOOKUP("Gs",A1:CV300,121,FALSE)=0,0,HLOOKUP("Gs - Open",A1:CV300,121,FALSE)/HLOOKUP("Gs",A1:CV300,121,FALSE))</f>
      </c>
      <c r="AS121" t="n" s="24617">
        <v>0.41</v>
      </c>
      <c r="AT121" t="n" s="24618">
        <v>0.3</v>
      </c>
      <c r="AU121" s="24619">
        <f>IF(HLOOKUP("Mins",A1:CV300,121,FALSE)=0,0,HLOOKUP("Pts",A1:CV300,121,FALSE)/HLOOKUP("Mins",A1:CV300,121,FALSE)* 90)</f>
      </c>
      <c r="AV121" s="24620">
        <f>IF(HLOOKUP("Apps",A1:CV300,121,FALSE)=0,0,HLOOKUP("Pts",A1:CV300,121,FALSE)/HLOOKUP("Apps",A1:CV300,121,FALSE)* 1)</f>
      </c>
      <c r="AW121" s="24621">
        <f>IF(HLOOKUP("Mins",A1:CV300,121,FALSE)=0,0,HLOOKUP("Gs",A1:CV300,121,FALSE)/HLOOKUP("Mins",A1:CV300,121,FALSE)* 90)</f>
      </c>
      <c r="AX121" s="24622">
        <f>IF(HLOOKUP("Mins",A1:CV300,121,FALSE)=0,0,HLOOKUP("Bonus",A1:CV300,121,FALSE)/HLOOKUP("Mins",A1:CV300,121,FALSE)* 90)</f>
      </c>
      <c r="AY121" s="24623">
        <f>IF(HLOOKUP("Mins",A1:CV300,121,FALSE)=0,0,HLOOKUP("BPS",A1:CV300,121,FALSE)/HLOOKUP("Mins",A1:CV300,121,FALSE)* 90)</f>
      </c>
      <c r="AZ121" s="24624">
        <f>IF(HLOOKUP("Mins",A1:CV300,121,FALSE)=0,0,HLOOKUP("Base BPS",A1:CV300,121,FALSE)/HLOOKUP("Mins",A1:CV300,121,FALSE)* 90)</f>
      </c>
      <c r="BA121" s="24625">
        <f>IF(HLOOKUP("Mins",A1:CV300,121,FALSE)=0,0,HLOOKUP("PenTchs",A1:CV300,121,FALSE)/HLOOKUP("Mins",A1:CV300,121,FALSE)* 90)</f>
      </c>
      <c r="BB121" s="24626">
        <f>IF(HLOOKUP("Mins",A1:CV300,121,FALSE)=0,0,HLOOKUP("Shots",A1:CV300,121,FALSE)/HLOOKUP("Mins",A1:CV300,121,FALSE)* 90)</f>
      </c>
      <c r="BC121" s="24627">
        <f>IF(HLOOKUP("Mins",A1:CV300,121,FALSE)=0,0,HLOOKUP("SIB",A1:CV300,121,FALSE)/HLOOKUP("Mins",A1:CV300,121,FALSE)* 90)</f>
      </c>
      <c r="BD121" s="24628">
        <f>IF(HLOOKUP("Mins",A1:CV300,121,FALSE)=0,0,HLOOKUP("S6YD",A1:CV300,121,FALSE)/HLOOKUP("Mins",A1:CV300,121,FALSE)* 90)</f>
      </c>
      <c r="BE121" s="24629">
        <f>IF(HLOOKUP("Mins",A1:CV300,121,FALSE)=0,0,HLOOKUP("Headers",A1:CV300,121,FALSE)/HLOOKUP("Mins",A1:CV300,121,FALSE)* 90)</f>
      </c>
      <c r="BF121" s="24630">
        <f>IF(HLOOKUP("Mins",A1:CV300,121,FALSE)=0,0,HLOOKUP("SOT",A1:CV300,121,FALSE)/HLOOKUP("Mins",A1:CV300,121,FALSE)* 90)</f>
      </c>
      <c r="BG121" s="24631">
        <f>IF(HLOOKUP("Mins",A1:CV300,121,FALSE)=0,0,HLOOKUP("As",A1:CV300,121,FALSE)/HLOOKUP("Mins",A1:CV300,121,FALSE)* 90)</f>
      </c>
      <c r="BH121" s="24632">
        <f>IF(HLOOKUP("Mins",A1:CV300,121,FALSE)=0,0,HLOOKUP("FPL As",A1:CV300,121,FALSE)/HLOOKUP("Mins",A1:CV300,121,FALSE)* 90)</f>
      </c>
      <c r="BI121" s="24633">
        <f>IF(HLOOKUP("Mins",A1:CV300,121,FALSE)=0,0,HLOOKUP("BC Created",A1:CV300,121,FALSE)/HLOOKUP("Mins",A1:CV300,121,FALSE)* 90)</f>
      </c>
      <c r="BJ121" s="24634">
        <f>IF(HLOOKUP("Mins",A1:CV300,121,FALSE)=0,0,HLOOKUP("KP",A1:CV300,121,FALSE)/HLOOKUP("Mins",A1:CV300,121,FALSE)* 90)</f>
      </c>
      <c r="BK121" s="24635">
        <f>IF(HLOOKUP("Mins",A1:CV300,121,FALSE)=0,0,HLOOKUP("BC",A1:CV300,121,FALSE)/HLOOKUP("Mins",A1:CV300,121,FALSE)* 90)</f>
      </c>
      <c r="BL121" s="24636">
        <f>IF(HLOOKUP("Mins",A1:CV300,121,FALSE)=0,0,HLOOKUP("BC Miss",A1:CV300,121,FALSE)/HLOOKUP("Mins",A1:CV300,121,FALSE)* 90)</f>
      </c>
      <c r="BM121" s="24637">
        <f>IF(HLOOKUP("Mins",A1:CV300,121,FALSE)=0,0,HLOOKUP("Gs - BC",A1:CV300,121,FALSE)/HLOOKUP("Mins",A1:CV300,121,FALSE)* 90)</f>
      </c>
      <c r="BN121" s="24638">
        <f>IF(HLOOKUP("Mins",A1:CV300,121,FALSE)=0,0,HLOOKUP("GIB",A1:CV300,121,FALSE)/HLOOKUP("Mins",A1:CV300,121,FALSE)* 90)</f>
      </c>
      <c r="BO121" s="24639">
        <f>IF(HLOOKUP("Mins",A1:CV300,121,FALSE)=0,0,HLOOKUP("Gs - Open",A1:CV300,121,FALSE)/HLOOKUP("Mins",A1:CV300,121,FALSE)* 90)</f>
      </c>
      <c r="BP121" s="24640">
        <f>IF(HLOOKUP("Mins",A1:CV300,121,FALSE)=0,0,HLOOKUP("ICT Index",A1:CV300,121,FALSE)/HLOOKUP("Mins",A1:CV300,121,FALSE)* 90)</f>
      </c>
      <c r="BQ121" s="24641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4642">
        <f>0.0885*HLOOKUP("KP/90",A1:CV300,121,FALSE)</f>
      </c>
      <c r="BS121" s="24643">
        <f>5*HLOOKUP("xG/90",A1:CV300,121,FALSE)+3*HLOOKUP("xA/90",A1:CV300,121,FALSE)</f>
      </c>
      <c r="BT121" s="24644">
        <f>HLOOKUP("xPts/90",A1:CV300,121,FALSE)-(5*0.75*(HLOOKUP("PK Gs",A1:CV300,121,FALSE)+HLOOKUP("PK Miss",A1:CV300,121,FALSE))*90/HLOOKUP("Mins",A1:CV300,121,FALSE))</f>
      </c>
      <c r="BU121" s="24645">
        <f>IF(HLOOKUP("Mins",A1:CV300,121,FALSE)=0,0,HLOOKUP("fsXG",A1:CV300,121,FALSE)/HLOOKUP("Mins",A1:CV300,121,FALSE)* 90)</f>
      </c>
      <c r="BV121" s="24646">
        <f>IF(HLOOKUP("Mins",A1:CV300,121,FALSE)=0,0,HLOOKUP("fsXA",A1:CV300,121,FALSE)/HLOOKUP("Mins",A1:CV300,121,FALSE)* 90)</f>
      </c>
      <c r="BW121" s="24647">
        <f>5*HLOOKUP("fsXG/90",A1:CV300,121,FALSE)+3*HLOOKUP("fsXA/90",A1:CV300,121,FALSE)</f>
      </c>
      <c r="BX121" t="n" s="24648">
        <v>0.14995770156383514</v>
      </c>
      <c r="BY121" t="n" s="24649">
        <v>0.2776046395301819</v>
      </c>
      <c r="BZ121" s="24650">
        <f>5*HLOOKUP("uXG/90",A1:CV300,121,FALSE)+3*HLOOKUP("uXA/90",A1:CV300,121,FALSE)</f>
      </c>
    </row>
    <row r="122">
      <c r="A122" t="s" s="24651">
        <v>413</v>
      </c>
      <c r="B122" t="s" s="24652">
        <v>94</v>
      </c>
      <c r="C122" t="n" s="24653">
        <v>5.199999809265137</v>
      </c>
      <c r="D122" t="n" s="24654">
        <v>159.0</v>
      </c>
      <c r="E122" t="n" s="24655">
        <v>3.0</v>
      </c>
      <c r="F122" t="n" s="24656">
        <v>25.0</v>
      </c>
      <c r="G122" t="n" s="24657">
        <v>0.0</v>
      </c>
      <c r="H122" t="n" s="24658">
        <v>0.0</v>
      </c>
      <c r="I122" t="n" s="24659">
        <v>194.0</v>
      </c>
      <c r="J122" s="24660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4661">
        <v>0.0</v>
      </c>
      <c r="L122" t="n" s="24662">
        <v>1.0</v>
      </c>
      <c r="M122" t="n" s="24663">
        <v>0.0</v>
      </c>
      <c r="N122" t="n" s="24664">
        <v>0.0</v>
      </c>
      <c r="O122" t="n" s="24665">
        <v>0.0</v>
      </c>
      <c r="P122" s="24666">
        <f>IF(HLOOKUP("Shots",A1:CV300,122,FALSE)=0,0,HLOOKUP("SIB",A1:CV300,122,FALSE)/HLOOKUP("Shots",A1:CV300,122,FALSE))</f>
      </c>
      <c r="Q122" t="n" s="24667">
        <v>0.0</v>
      </c>
      <c r="R122" s="24668">
        <f>IF(HLOOKUP("Shots",A1:CV300,122,FALSE)=0,0,HLOOKUP("S6YD",A1:CV300,122,FALSE)/HLOOKUP("Shots",A1:CV300,122,FALSE))</f>
      </c>
      <c r="S122" t="n" s="24669">
        <v>0.0</v>
      </c>
      <c r="T122" s="24670">
        <f>IF(HLOOKUP("Shots",A1:CV300,122,FALSE)=0,0,HLOOKUP("Headers",A1:CV300,122,FALSE)/HLOOKUP("Shots",A1:CV300,122,FALSE))</f>
      </c>
      <c r="U122" t="n" s="24671">
        <v>0.0</v>
      </c>
      <c r="V122" s="24672">
        <f>IF(HLOOKUP("Shots",A1:CV300,122,FALSE)=0,0,HLOOKUP("SOT",A1:CV300,122,FALSE)/HLOOKUP("Shots",A1:CV300,122,FALSE))</f>
      </c>
      <c r="W122" s="24673">
        <f>IF(HLOOKUP("Shots",A1:CV300,122,FALSE)=0,0,HLOOKUP("Gs",A1:CV300,122,FALSE)/HLOOKUP("Shots",A1:CV300,122,FALSE))</f>
      </c>
      <c r="X122" t="n" s="24674">
        <v>0.0</v>
      </c>
      <c r="Y122" t="n" s="24675">
        <v>0.0</v>
      </c>
      <c r="Z122" t="n" s="24676">
        <v>0.0</v>
      </c>
      <c r="AA122" s="24677">
        <f>IF(HLOOKUP("KP",A1:CV300,122,FALSE)=0,0,HLOOKUP("As",A1:CV300,122,FALSE)/HLOOKUP("KP",A1:CV300,122,FALSE))</f>
      </c>
      <c r="AB122" s="24678"/>
      <c r="AC122" t="n" s="24679">
        <v>0.0</v>
      </c>
      <c r="AD122" t="n" s="24680">
        <v>0.0</v>
      </c>
      <c r="AE122" t="n" s="24681">
        <v>0.0</v>
      </c>
      <c r="AF122" t="n" s="24682">
        <v>0.0</v>
      </c>
      <c r="AG122" s="24683">
        <f>IF(HLOOKUP("BC",A1:CV300,122,FALSE)=0,0,HLOOKUP("Gs - BC",A1:CV300,122,FALSE)/HLOOKUP("BC",A1:CV300,122,FALSE))</f>
      </c>
      <c r="AH122" s="24684">
        <f>HLOOKUP("BC",A1:CV300,122,FALSE) - HLOOKUP("BC Miss",A1:CV300,122,FALSE)</f>
      </c>
      <c r="AI122" s="24685">
        <f>IF(HLOOKUP("Gs",A1:CV300,122,FALSE)=0,0,HLOOKUP("Gs - BC",A1:CV300,122,FALSE)/HLOOKUP("Gs",A1:CV300,122,FALSE))</f>
      </c>
      <c r="AJ122" t="n" s="24686">
        <v>0.0</v>
      </c>
      <c r="AK122" t="n" s="24687">
        <v>0.0</v>
      </c>
      <c r="AL122" s="24688">
        <f>HLOOKUP("BC",A1:CV300,122,FALSE) - (HLOOKUP("PK Gs",A1:CV300,122,FALSE) + HLOOKUP("PK Miss",A1:CV300,122,FALSE))</f>
      </c>
      <c r="AM122" s="24689">
        <f>HLOOKUP("BC Miss",A1:CV300,122,FALSE) - HLOOKUP("PK Miss",A1:CV300,122,FALSE)</f>
      </c>
      <c r="AN122" s="24690">
        <f>IF(HLOOKUP("BC - Open",A1:CV300,122,FALSE)=0,0,HLOOKUP("BC - Open Miss",A1:CV300,122,FALSE)/HLOOKUP("BC - Open",A1:CV300,122,FALSE))</f>
      </c>
      <c r="AO122" t="n" s="24691">
        <v>0.0</v>
      </c>
      <c r="AP122" s="24692">
        <f>IF(HLOOKUP("Gs",A1:CV300,122,FALSE)=0,0,HLOOKUP("GIB",A1:CV300,122,FALSE)/HLOOKUP("Gs",A1:CV300,122,FALSE))</f>
      </c>
      <c r="AQ122" t="n" s="24693">
        <v>0.0</v>
      </c>
      <c r="AR122" s="24694">
        <f>IF(HLOOKUP("Gs",A1:CV300,122,FALSE)=0,0,HLOOKUP("Gs - Open",A1:CV300,122,FALSE)/HLOOKUP("Gs",A1:CV300,122,FALSE))</f>
      </c>
      <c r="AS122" t="n" s="24695">
        <v>0.0</v>
      </c>
      <c r="AT122" t="n" s="24696">
        <v>0.05</v>
      </c>
      <c r="AU122" s="24697">
        <f>IF(HLOOKUP("Mins",A1:CV300,122,FALSE)=0,0,HLOOKUP("Pts",A1:CV300,122,FALSE)/HLOOKUP("Mins",A1:CV300,122,FALSE)* 90)</f>
      </c>
      <c r="AV122" s="24698">
        <f>IF(HLOOKUP("Apps",A1:CV300,122,FALSE)=0,0,HLOOKUP("Pts",A1:CV300,122,FALSE)/HLOOKUP("Apps",A1:CV300,122,FALSE)* 1)</f>
      </c>
      <c r="AW122" s="24699">
        <f>IF(HLOOKUP("Mins",A1:CV300,122,FALSE)=0,0,HLOOKUP("Gs",A1:CV300,122,FALSE)/HLOOKUP("Mins",A1:CV300,122,FALSE)* 90)</f>
      </c>
      <c r="AX122" s="24700">
        <f>IF(HLOOKUP("Mins",A1:CV300,122,FALSE)=0,0,HLOOKUP("Bonus",A1:CV300,122,FALSE)/HLOOKUP("Mins",A1:CV300,122,FALSE)* 90)</f>
      </c>
      <c r="AY122" s="24701">
        <f>IF(HLOOKUP("Mins",A1:CV300,122,FALSE)=0,0,HLOOKUP("BPS",A1:CV300,122,FALSE)/HLOOKUP("Mins",A1:CV300,122,FALSE)* 90)</f>
      </c>
      <c r="AZ122" s="24702">
        <f>IF(HLOOKUP("Mins",A1:CV300,122,FALSE)=0,0,HLOOKUP("Base BPS",A1:CV300,122,FALSE)/HLOOKUP("Mins",A1:CV300,122,FALSE)* 90)</f>
      </c>
      <c r="BA122" s="24703">
        <f>IF(HLOOKUP("Mins",A1:CV300,122,FALSE)=0,0,HLOOKUP("PenTchs",A1:CV300,122,FALSE)/HLOOKUP("Mins",A1:CV300,122,FALSE)* 90)</f>
      </c>
      <c r="BB122" s="24704">
        <f>IF(HLOOKUP("Mins",A1:CV300,122,FALSE)=0,0,HLOOKUP("Shots",A1:CV300,122,FALSE)/HLOOKUP("Mins",A1:CV300,122,FALSE)* 90)</f>
      </c>
      <c r="BC122" s="24705">
        <f>IF(HLOOKUP("Mins",A1:CV300,122,FALSE)=0,0,HLOOKUP("SIB",A1:CV300,122,FALSE)/HLOOKUP("Mins",A1:CV300,122,FALSE)* 90)</f>
      </c>
      <c r="BD122" s="24706">
        <f>IF(HLOOKUP("Mins",A1:CV300,122,FALSE)=0,0,HLOOKUP("S6YD",A1:CV300,122,FALSE)/HLOOKUP("Mins",A1:CV300,122,FALSE)* 90)</f>
      </c>
      <c r="BE122" s="24707">
        <f>IF(HLOOKUP("Mins",A1:CV300,122,FALSE)=0,0,HLOOKUP("Headers",A1:CV300,122,FALSE)/HLOOKUP("Mins",A1:CV300,122,FALSE)* 90)</f>
      </c>
      <c r="BF122" s="24708">
        <f>IF(HLOOKUP("Mins",A1:CV300,122,FALSE)=0,0,HLOOKUP("SOT",A1:CV300,122,FALSE)/HLOOKUP("Mins",A1:CV300,122,FALSE)* 90)</f>
      </c>
      <c r="BG122" s="24709">
        <f>IF(HLOOKUP("Mins",A1:CV300,122,FALSE)=0,0,HLOOKUP("As",A1:CV300,122,FALSE)/HLOOKUP("Mins",A1:CV300,122,FALSE)* 90)</f>
      </c>
      <c r="BH122" s="24710">
        <f>IF(HLOOKUP("Mins",A1:CV300,122,FALSE)=0,0,HLOOKUP("FPL As",A1:CV300,122,FALSE)/HLOOKUP("Mins",A1:CV300,122,FALSE)* 90)</f>
      </c>
      <c r="BI122" s="24711">
        <f>IF(HLOOKUP("Mins",A1:CV300,122,FALSE)=0,0,HLOOKUP("BC Created",A1:CV300,122,FALSE)/HLOOKUP("Mins",A1:CV300,122,FALSE)* 90)</f>
      </c>
      <c r="BJ122" s="24712">
        <f>IF(HLOOKUP("Mins",A1:CV300,122,FALSE)=0,0,HLOOKUP("KP",A1:CV300,122,FALSE)/HLOOKUP("Mins",A1:CV300,122,FALSE)* 90)</f>
      </c>
      <c r="BK122" s="24713">
        <f>IF(HLOOKUP("Mins",A1:CV300,122,FALSE)=0,0,HLOOKUP("BC",A1:CV300,122,FALSE)/HLOOKUP("Mins",A1:CV300,122,FALSE)* 90)</f>
      </c>
      <c r="BL122" s="24714">
        <f>IF(HLOOKUP("Mins",A1:CV300,122,FALSE)=0,0,HLOOKUP("BC Miss",A1:CV300,122,FALSE)/HLOOKUP("Mins",A1:CV300,122,FALSE)* 90)</f>
      </c>
      <c r="BM122" s="24715">
        <f>IF(HLOOKUP("Mins",A1:CV300,122,FALSE)=0,0,HLOOKUP("Gs - BC",A1:CV300,122,FALSE)/HLOOKUP("Mins",A1:CV300,122,FALSE)* 90)</f>
      </c>
      <c r="BN122" s="24716">
        <f>IF(HLOOKUP("Mins",A1:CV300,122,FALSE)=0,0,HLOOKUP("GIB",A1:CV300,122,FALSE)/HLOOKUP("Mins",A1:CV300,122,FALSE)* 90)</f>
      </c>
      <c r="BO122" s="24717">
        <f>IF(HLOOKUP("Mins",A1:CV300,122,FALSE)=0,0,HLOOKUP("Gs - Open",A1:CV300,122,FALSE)/HLOOKUP("Mins",A1:CV300,122,FALSE)* 90)</f>
      </c>
      <c r="BP122" s="24718">
        <f>IF(HLOOKUP("Mins",A1:CV300,122,FALSE)=0,0,HLOOKUP("ICT Index",A1:CV300,122,FALSE)/HLOOKUP("Mins",A1:CV300,122,FALSE)* 90)</f>
      </c>
      <c r="BQ122" s="24719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4720">
        <f>0.0885*HLOOKUP("KP/90",A1:CV300,122,FALSE)</f>
      </c>
      <c r="BS122" s="24721">
        <f>5*HLOOKUP("xG/90",A1:CV300,122,FALSE)+3*HLOOKUP("xA/90",A1:CV300,122,FALSE)</f>
      </c>
      <c r="BT122" s="24722">
        <f>HLOOKUP("xPts/90",A1:CV300,122,FALSE)-(5*0.75*(HLOOKUP("PK Gs",A1:CV300,122,FALSE)+HLOOKUP("PK Miss",A1:CV300,122,FALSE))*90/HLOOKUP("Mins",A1:CV300,122,FALSE))</f>
      </c>
      <c r="BU122" s="24723">
        <f>IF(HLOOKUP("Mins",A1:CV300,122,FALSE)=0,0,HLOOKUP("fsXG",A1:CV300,122,FALSE)/HLOOKUP("Mins",A1:CV300,122,FALSE)* 90)</f>
      </c>
      <c r="BV122" s="24724">
        <f>IF(HLOOKUP("Mins",A1:CV300,122,FALSE)=0,0,HLOOKUP("fsXA",A1:CV300,122,FALSE)/HLOOKUP("Mins",A1:CV300,122,FALSE)* 90)</f>
      </c>
      <c r="BW122" s="24725">
        <f>5*HLOOKUP("fsXG/90",A1:CV300,122,FALSE)+3*HLOOKUP("fsXA/90",A1:CV300,122,FALSE)</f>
      </c>
      <c r="BX122" t="n" s="24726">
        <v>0.0</v>
      </c>
      <c r="BY122" t="n" s="24727">
        <v>0.0</v>
      </c>
      <c r="BZ122" s="24728">
        <f>5*HLOOKUP("uXG/90",A1:CV300,122,FALSE)+3*HLOOKUP("uXA/90",A1:CV300,122,FALSE)</f>
      </c>
    </row>
    <row r="123">
      <c r="A123" t="s" s="24729">
        <v>414</v>
      </c>
      <c r="B123" t="s" s="24730">
        <v>117</v>
      </c>
      <c r="C123" t="n" s="24731">
        <v>4.400000095367432</v>
      </c>
      <c r="D123" t="n" s="24732">
        <v>7.0</v>
      </c>
      <c r="E123" t="n" s="24733">
        <v>2.0</v>
      </c>
      <c r="F123" t="n" s="24734">
        <v>4.0</v>
      </c>
      <c r="G123" t="n" s="24735">
        <v>0.0</v>
      </c>
      <c r="H123" t="n" s="24736">
        <v>0.0</v>
      </c>
      <c r="I123" t="n" s="24737">
        <v>10.0</v>
      </c>
      <c r="J123" s="24738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4739">
        <v>0.0</v>
      </c>
      <c r="L123" t="n" s="24740">
        <v>0.0</v>
      </c>
      <c r="M123" t="n" s="24741">
        <v>0.0</v>
      </c>
      <c r="N123" t="n" s="24742">
        <v>0.0</v>
      </c>
      <c r="O123" t="n" s="24743">
        <v>0.0</v>
      </c>
      <c r="P123" s="24744">
        <f>IF(HLOOKUP("Shots",A1:CV300,123,FALSE)=0,0,HLOOKUP("SIB",A1:CV300,123,FALSE)/HLOOKUP("Shots",A1:CV300,123,FALSE))</f>
      </c>
      <c r="Q123" t="n" s="24745">
        <v>0.0</v>
      </c>
      <c r="R123" s="24746">
        <f>IF(HLOOKUP("Shots",A1:CV300,123,FALSE)=0,0,HLOOKUP("S6YD",A1:CV300,123,FALSE)/HLOOKUP("Shots",A1:CV300,123,FALSE))</f>
      </c>
      <c r="S123" t="n" s="24747">
        <v>0.0</v>
      </c>
      <c r="T123" s="24748">
        <f>IF(HLOOKUP("Shots",A1:CV300,123,FALSE)=0,0,HLOOKUP("Headers",A1:CV300,123,FALSE)/HLOOKUP("Shots",A1:CV300,123,FALSE))</f>
      </c>
      <c r="U123" t="n" s="24749">
        <v>0.0</v>
      </c>
      <c r="V123" s="24750">
        <f>IF(HLOOKUP("Shots",A1:CV300,123,FALSE)=0,0,HLOOKUP("SOT",A1:CV300,123,FALSE)/HLOOKUP("Shots",A1:CV300,123,FALSE))</f>
      </c>
      <c r="W123" s="24751">
        <f>IF(HLOOKUP("Shots",A1:CV300,123,FALSE)=0,0,HLOOKUP("Gs",A1:CV300,123,FALSE)/HLOOKUP("Shots",A1:CV300,123,FALSE))</f>
      </c>
      <c r="X123" t="n" s="24752">
        <v>0.0</v>
      </c>
      <c r="Y123" t="n" s="24753">
        <v>0.0</v>
      </c>
      <c r="Z123" t="n" s="24754">
        <v>0.0</v>
      </c>
      <c r="AA123" s="24755">
        <f>IF(HLOOKUP("KP",A1:CV300,123,FALSE)=0,0,HLOOKUP("As",A1:CV300,123,FALSE)/HLOOKUP("KP",A1:CV300,123,FALSE))</f>
      </c>
      <c r="AB123" s="24756"/>
      <c r="AC123" t="n" s="24757">
        <v>0.0</v>
      </c>
      <c r="AD123" t="n" s="24758">
        <v>0.0</v>
      </c>
      <c r="AE123" t="n" s="24759">
        <v>0.0</v>
      </c>
      <c r="AF123" t="n" s="24760">
        <v>0.0</v>
      </c>
      <c r="AG123" s="24761">
        <f>IF(HLOOKUP("BC",A1:CV300,123,FALSE)=0,0,HLOOKUP("Gs - BC",A1:CV300,123,FALSE)/HLOOKUP("BC",A1:CV300,123,FALSE))</f>
      </c>
      <c r="AH123" s="24762">
        <f>HLOOKUP("BC",A1:CV300,123,FALSE) - HLOOKUP("BC Miss",A1:CV300,123,FALSE)</f>
      </c>
      <c r="AI123" s="24763">
        <f>IF(HLOOKUP("Gs",A1:CV300,123,FALSE)=0,0,HLOOKUP("Gs - BC",A1:CV300,123,FALSE)/HLOOKUP("Gs",A1:CV300,123,FALSE))</f>
      </c>
      <c r="AJ123" t="n" s="24764">
        <v>0.0</v>
      </c>
      <c r="AK123" t="n" s="24765">
        <v>0.0</v>
      </c>
      <c r="AL123" s="24766">
        <f>HLOOKUP("BC",A1:CV300,123,FALSE) - (HLOOKUP("PK Gs",A1:CV300,123,FALSE) + HLOOKUP("PK Miss",A1:CV300,123,FALSE))</f>
      </c>
      <c r="AM123" s="24767">
        <f>HLOOKUP("BC Miss",A1:CV300,123,FALSE) - HLOOKUP("PK Miss",A1:CV300,123,FALSE)</f>
      </c>
      <c r="AN123" s="24768">
        <f>IF(HLOOKUP("BC - Open",A1:CV300,123,FALSE)=0,0,HLOOKUP("BC - Open Miss",A1:CV300,123,FALSE)/HLOOKUP("BC - Open",A1:CV300,123,FALSE))</f>
      </c>
      <c r="AO123" t="n" s="24769">
        <v>0.0</v>
      </c>
      <c r="AP123" s="24770">
        <f>IF(HLOOKUP("Gs",A1:CV300,123,FALSE)=0,0,HLOOKUP("GIB",A1:CV300,123,FALSE)/HLOOKUP("Gs",A1:CV300,123,FALSE))</f>
      </c>
      <c r="AQ123" t="n" s="24771">
        <v>0.0</v>
      </c>
      <c r="AR123" s="24772">
        <f>IF(HLOOKUP("Gs",A1:CV300,123,FALSE)=0,0,HLOOKUP("Gs - Open",A1:CV300,123,FALSE)/HLOOKUP("Gs",A1:CV300,123,FALSE))</f>
      </c>
      <c r="AS123" t="n" s="24773">
        <v>0.0</v>
      </c>
      <c r="AT123" t="n" s="24774">
        <v>0.02</v>
      </c>
      <c r="AU123" s="24775">
        <f>IF(HLOOKUP("Mins",A1:CV300,123,FALSE)=0,0,HLOOKUP("Pts",A1:CV300,123,FALSE)/HLOOKUP("Mins",A1:CV300,123,FALSE)* 90)</f>
      </c>
      <c r="AV123" s="24776">
        <f>IF(HLOOKUP("Apps",A1:CV300,123,FALSE)=0,0,HLOOKUP("Pts",A1:CV300,123,FALSE)/HLOOKUP("Apps",A1:CV300,123,FALSE)* 1)</f>
      </c>
      <c r="AW123" s="24777">
        <f>IF(HLOOKUP("Mins",A1:CV300,123,FALSE)=0,0,HLOOKUP("Gs",A1:CV300,123,FALSE)/HLOOKUP("Mins",A1:CV300,123,FALSE)* 90)</f>
      </c>
      <c r="AX123" s="24778">
        <f>IF(HLOOKUP("Mins",A1:CV300,123,FALSE)=0,0,HLOOKUP("Bonus",A1:CV300,123,FALSE)/HLOOKUP("Mins",A1:CV300,123,FALSE)* 90)</f>
      </c>
      <c r="AY123" s="24779">
        <f>IF(HLOOKUP("Mins",A1:CV300,123,FALSE)=0,0,HLOOKUP("BPS",A1:CV300,123,FALSE)/HLOOKUP("Mins",A1:CV300,123,FALSE)* 90)</f>
      </c>
      <c r="AZ123" s="24780">
        <f>IF(HLOOKUP("Mins",A1:CV300,123,FALSE)=0,0,HLOOKUP("Base BPS",A1:CV300,123,FALSE)/HLOOKUP("Mins",A1:CV300,123,FALSE)* 90)</f>
      </c>
      <c r="BA123" s="24781">
        <f>IF(HLOOKUP("Mins",A1:CV300,123,FALSE)=0,0,HLOOKUP("PenTchs",A1:CV300,123,FALSE)/HLOOKUP("Mins",A1:CV300,123,FALSE)* 90)</f>
      </c>
      <c r="BB123" s="24782">
        <f>IF(HLOOKUP("Mins",A1:CV300,123,FALSE)=0,0,HLOOKUP("Shots",A1:CV300,123,FALSE)/HLOOKUP("Mins",A1:CV300,123,FALSE)* 90)</f>
      </c>
      <c r="BC123" s="24783">
        <f>IF(HLOOKUP("Mins",A1:CV300,123,FALSE)=0,0,HLOOKUP("SIB",A1:CV300,123,FALSE)/HLOOKUP("Mins",A1:CV300,123,FALSE)* 90)</f>
      </c>
      <c r="BD123" s="24784">
        <f>IF(HLOOKUP("Mins",A1:CV300,123,FALSE)=0,0,HLOOKUP("S6YD",A1:CV300,123,FALSE)/HLOOKUP("Mins",A1:CV300,123,FALSE)* 90)</f>
      </c>
      <c r="BE123" s="24785">
        <f>IF(HLOOKUP("Mins",A1:CV300,123,FALSE)=0,0,HLOOKUP("Headers",A1:CV300,123,FALSE)/HLOOKUP("Mins",A1:CV300,123,FALSE)* 90)</f>
      </c>
      <c r="BF123" s="24786">
        <f>IF(HLOOKUP("Mins",A1:CV300,123,FALSE)=0,0,HLOOKUP("SOT",A1:CV300,123,FALSE)/HLOOKUP("Mins",A1:CV300,123,FALSE)* 90)</f>
      </c>
      <c r="BG123" s="24787">
        <f>IF(HLOOKUP("Mins",A1:CV300,123,FALSE)=0,0,HLOOKUP("As",A1:CV300,123,FALSE)/HLOOKUP("Mins",A1:CV300,123,FALSE)* 90)</f>
      </c>
      <c r="BH123" s="24788">
        <f>IF(HLOOKUP("Mins",A1:CV300,123,FALSE)=0,0,HLOOKUP("FPL As",A1:CV300,123,FALSE)/HLOOKUP("Mins",A1:CV300,123,FALSE)* 90)</f>
      </c>
      <c r="BI123" s="24789">
        <f>IF(HLOOKUP("Mins",A1:CV300,123,FALSE)=0,0,HLOOKUP("BC Created",A1:CV300,123,FALSE)/HLOOKUP("Mins",A1:CV300,123,FALSE)* 90)</f>
      </c>
      <c r="BJ123" s="24790">
        <f>IF(HLOOKUP("Mins",A1:CV300,123,FALSE)=0,0,HLOOKUP("KP",A1:CV300,123,FALSE)/HLOOKUP("Mins",A1:CV300,123,FALSE)* 90)</f>
      </c>
      <c r="BK123" s="24791">
        <f>IF(HLOOKUP("Mins",A1:CV300,123,FALSE)=0,0,HLOOKUP("BC",A1:CV300,123,FALSE)/HLOOKUP("Mins",A1:CV300,123,FALSE)* 90)</f>
      </c>
      <c r="BL123" s="24792">
        <f>IF(HLOOKUP("Mins",A1:CV300,123,FALSE)=0,0,HLOOKUP("BC Miss",A1:CV300,123,FALSE)/HLOOKUP("Mins",A1:CV300,123,FALSE)* 90)</f>
      </c>
      <c r="BM123" s="24793">
        <f>IF(HLOOKUP("Mins",A1:CV300,123,FALSE)=0,0,HLOOKUP("Gs - BC",A1:CV300,123,FALSE)/HLOOKUP("Mins",A1:CV300,123,FALSE)* 90)</f>
      </c>
      <c r="BN123" s="24794">
        <f>IF(HLOOKUP("Mins",A1:CV300,123,FALSE)=0,0,HLOOKUP("GIB",A1:CV300,123,FALSE)/HLOOKUP("Mins",A1:CV300,123,FALSE)* 90)</f>
      </c>
      <c r="BO123" s="24795">
        <f>IF(HLOOKUP("Mins",A1:CV300,123,FALSE)=0,0,HLOOKUP("Gs - Open",A1:CV300,123,FALSE)/HLOOKUP("Mins",A1:CV300,123,FALSE)* 90)</f>
      </c>
      <c r="BP123" s="24796">
        <f>IF(HLOOKUP("Mins",A1:CV300,123,FALSE)=0,0,HLOOKUP("ICT Index",A1:CV300,123,FALSE)/HLOOKUP("Mins",A1:CV300,123,FALSE)* 90)</f>
      </c>
      <c r="BQ123" s="24797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4798">
        <f>0.0885*HLOOKUP("KP/90",A1:CV300,123,FALSE)</f>
      </c>
      <c r="BS123" s="24799">
        <f>5*HLOOKUP("xG/90",A1:CV300,123,FALSE)+3*HLOOKUP("xA/90",A1:CV300,123,FALSE)</f>
      </c>
      <c r="BT123" s="24800">
        <f>HLOOKUP("xPts/90",A1:CV300,123,FALSE)-(5*0.75*(HLOOKUP("PK Gs",A1:CV300,123,FALSE)+HLOOKUP("PK Miss",A1:CV300,123,FALSE))*90/HLOOKUP("Mins",A1:CV300,123,FALSE))</f>
      </c>
      <c r="BU123" s="24801">
        <f>IF(HLOOKUP("Mins",A1:CV300,123,FALSE)=0,0,HLOOKUP("fsXG",A1:CV300,123,FALSE)/HLOOKUP("Mins",A1:CV300,123,FALSE)* 90)</f>
      </c>
      <c r="BV123" s="24802">
        <f>IF(HLOOKUP("Mins",A1:CV300,123,FALSE)=0,0,HLOOKUP("fsXA",A1:CV300,123,FALSE)/HLOOKUP("Mins",A1:CV300,123,FALSE)* 90)</f>
      </c>
      <c r="BW123" s="24803">
        <f>5*HLOOKUP("fsXG/90",A1:CV300,123,FALSE)+3*HLOOKUP("fsXA/90",A1:CV300,123,FALSE)</f>
      </c>
      <c r="BX123" t="n" s="24804">
        <v>0.0</v>
      </c>
      <c r="BY123" t="n" s="24805">
        <v>0.0</v>
      </c>
      <c r="BZ123" s="24806">
        <f>5*HLOOKUP("uXG/90",A1:CV300,123,FALSE)+3*HLOOKUP("uXA/90",A1:CV300,123,FALSE)</f>
      </c>
    </row>
    <row r="124">
      <c r="A124" t="s" s="24807">
        <v>415</v>
      </c>
      <c r="B124" t="s" s="24808">
        <v>109</v>
      </c>
      <c r="C124" t="n" s="24809">
        <v>5.800000190734863</v>
      </c>
      <c r="D124" t="n" s="24810">
        <v>168.0</v>
      </c>
      <c r="E124" t="n" s="24811">
        <v>3.0</v>
      </c>
      <c r="F124" t="n" s="24812">
        <v>19.0</v>
      </c>
      <c r="G124" t="n" s="24813">
        <v>2.0</v>
      </c>
      <c r="H124" t="n" s="24814">
        <v>2.0</v>
      </c>
      <c r="I124" t="n" s="24815">
        <v>59.0</v>
      </c>
      <c r="J124" s="24816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4817">
        <v>0.0</v>
      </c>
      <c r="L124" t="n" s="24818">
        <v>1.0</v>
      </c>
      <c r="M124" t="n" s="24819">
        <v>5.0</v>
      </c>
      <c r="N124" t="n" s="24820">
        <v>8.0</v>
      </c>
      <c r="O124" t="n" s="24821">
        <v>5.0</v>
      </c>
      <c r="P124" s="24822">
        <f>IF(HLOOKUP("Shots",A1:CV300,124,FALSE)=0,0,HLOOKUP("SIB",A1:CV300,124,FALSE)/HLOOKUP("Shots",A1:CV300,124,FALSE))</f>
      </c>
      <c r="Q124" t="n" s="24823">
        <v>0.0</v>
      </c>
      <c r="R124" s="24824">
        <f>IF(HLOOKUP("Shots",A1:CV300,124,FALSE)=0,0,HLOOKUP("S6YD",A1:CV300,124,FALSE)/HLOOKUP("Shots",A1:CV300,124,FALSE))</f>
      </c>
      <c r="S124" t="n" s="24825">
        <v>0.0</v>
      </c>
      <c r="T124" s="24826">
        <f>IF(HLOOKUP("Shots",A1:CV300,124,FALSE)=0,0,HLOOKUP("Headers",A1:CV300,124,FALSE)/HLOOKUP("Shots",A1:CV300,124,FALSE))</f>
      </c>
      <c r="U124" t="n" s="24827">
        <v>2.0</v>
      </c>
      <c r="V124" s="24828">
        <f>IF(HLOOKUP("Shots",A1:CV300,124,FALSE)=0,0,HLOOKUP("SOT",A1:CV300,124,FALSE)/HLOOKUP("Shots",A1:CV300,124,FALSE))</f>
      </c>
      <c r="W124" s="24829">
        <f>IF(HLOOKUP("Shots",A1:CV300,124,FALSE)=0,0,HLOOKUP("Gs",A1:CV300,124,FALSE)/HLOOKUP("Shots",A1:CV300,124,FALSE))</f>
      </c>
      <c r="X124" t="n" s="24830">
        <v>0.0</v>
      </c>
      <c r="Y124" t="n" s="24831">
        <v>0.0</v>
      </c>
      <c r="Z124" t="n" s="24832">
        <v>3.0</v>
      </c>
      <c r="AA124" s="24833">
        <f>IF(HLOOKUP("KP",A1:CV300,124,FALSE)=0,0,HLOOKUP("As",A1:CV300,124,FALSE)/HLOOKUP("KP",A1:CV300,124,FALSE))</f>
      </c>
      <c r="AB124" s="24834"/>
      <c r="AC124" t="n" s="24835">
        <v>67.0</v>
      </c>
      <c r="AD124" t="n" s="24836">
        <v>2.0</v>
      </c>
      <c r="AE124" t="n" s="24837">
        <v>0.0</v>
      </c>
      <c r="AF124" t="n" s="24838">
        <v>0.0</v>
      </c>
      <c r="AG124" s="24839">
        <f>IF(HLOOKUP("BC",A1:CV300,124,FALSE)=0,0,HLOOKUP("Gs - BC",A1:CV300,124,FALSE)/HLOOKUP("BC",A1:CV300,124,FALSE))</f>
      </c>
      <c r="AH124" s="24840">
        <f>HLOOKUP("BC",A1:CV300,124,FALSE) - HLOOKUP("BC Miss",A1:CV300,124,FALSE)</f>
      </c>
      <c r="AI124" s="24841">
        <f>IF(HLOOKUP("Gs",A1:CV300,124,FALSE)=0,0,HLOOKUP("Gs - BC",A1:CV300,124,FALSE)/HLOOKUP("Gs",A1:CV300,124,FALSE))</f>
      </c>
      <c r="AJ124" t="n" s="24842">
        <v>0.0</v>
      </c>
      <c r="AK124" t="n" s="24843">
        <v>0.0</v>
      </c>
      <c r="AL124" s="24844">
        <f>HLOOKUP("BC",A1:CV300,124,FALSE) - (HLOOKUP("PK Gs",A1:CV300,124,FALSE) + HLOOKUP("PK Miss",A1:CV300,124,FALSE))</f>
      </c>
      <c r="AM124" s="24845">
        <f>HLOOKUP("BC Miss",A1:CV300,124,FALSE) - HLOOKUP("PK Miss",A1:CV300,124,FALSE)</f>
      </c>
      <c r="AN124" s="24846">
        <f>IF(HLOOKUP("BC - Open",A1:CV300,124,FALSE)=0,0,HLOOKUP("BC - Open Miss",A1:CV300,124,FALSE)/HLOOKUP("BC - Open",A1:CV300,124,FALSE))</f>
      </c>
      <c r="AO124" t="n" s="24847">
        <v>2.0</v>
      </c>
      <c r="AP124" s="24848">
        <f>IF(HLOOKUP("Gs",A1:CV300,124,FALSE)=0,0,HLOOKUP("GIB",A1:CV300,124,FALSE)/HLOOKUP("Gs",A1:CV300,124,FALSE))</f>
      </c>
      <c r="AQ124" t="n" s="24849">
        <v>0.0</v>
      </c>
      <c r="AR124" s="24850">
        <f>IF(HLOOKUP("Gs",A1:CV300,124,FALSE)=0,0,HLOOKUP("Gs - Open",A1:CV300,124,FALSE)/HLOOKUP("Gs",A1:CV300,124,FALSE))</f>
      </c>
      <c r="AS124" t="n" s="24851">
        <v>0.46</v>
      </c>
      <c r="AT124" t="n" s="24852">
        <v>0.2</v>
      </c>
      <c r="AU124" s="24853">
        <f>IF(HLOOKUP("Mins",A1:CV300,124,FALSE)=0,0,HLOOKUP("Pts",A1:CV300,124,FALSE)/HLOOKUP("Mins",A1:CV300,124,FALSE)* 90)</f>
      </c>
      <c r="AV124" s="24854">
        <f>IF(HLOOKUP("Apps",A1:CV300,124,FALSE)=0,0,HLOOKUP("Pts",A1:CV300,124,FALSE)/HLOOKUP("Apps",A1:CV300,124,FALSE)* 1)</f>
      </c>
      <c r="AW124" s="24855">
        <f>IF(HLOOKUP("Mins",A1:CV300,124,FALSE)=0,0,HLOOKUP("Gs",A1:CV300,124,FALSE)/HLOOKUP("Mins",A1:CV300,124,FALSE)* 90)</f>
      </c>
      <c r="AX124" s="24856">
        <f>IF(HLOOKUP("Mins",A1:CV300,124,FALSE)=0,0,HLOOKUP("Bonus",A1:CV300,124,FALSE)/HLOOKUP("Mins",A1:CV300,124,FALSE)* 90)</f>
      </c>
      <c r="AY124" s="24857">
        <f>IF(HLOOKUP("Mins",A1:CV300,124,FALSE)=0,0,HLOOKUP("BPS",A1:CV300,124,FALSE)/HLOOKUP("Mins",A1:CV300,124,FALSE)* 90)</f>
      </c>
      <c r="AZ124" s="24858">
        <f>IF(HLOOKUP("Mins",A1:CV300,124,FALSE)=0,0,HLOOKUP("Base BPS",A1:CV300,124,FALSE)/HLOOKUP("Mins",A1:CV300,124,FALSE)* 90)</f>
      </c>
      <c r="BA124" s="24859">
        <f>IF(HLOOKUP("Mins",A1:CV300,124,FALSE)=0,0,HLOOKUP("PenTchs",A1:CV300,124,FALSE)/HLOOKUP("Mins",A1:CV300,124,FALSE)* 90)</f>
      </c>
      <c r="BB124" s="24860">
        <f>IF(HLOOKUP("Mins",A1:CV300,124,FALSE)=0,0,HLOOKUP("Shots",A1:CV300,124,FALSE)/HLOOKUP("Mins",A1:CV300,124,FALSE)* 90)</f>
      </c>
      <c r="BC124" s="24861">
        <f>IF(HLOOKUP("Mins",A1:CV300,124,FALSE)=0,0,HLOOKUP("SIB",A1:CV300,124,FALSE)/HLOOKUP("Mins",A1:CV300,124,FALSE)* 90)</f>
      </c>
      <c r="BD124" s="24862">
        <f>IF(HLOOKUP("Mins",A1:CV300,124,FALSE)=0,0,HLOOKUP("S6YD",A1:CV300,124,FALSE)/HLOOKUP("Mins",A1:CV300,124,FALSE)* 90)</f>
      </c>
      <c r="BE124" s="24863">
        <f>IF(HLOOKUP("Mins",A1:CV300,124,FALSE)=0,0,HLOOKUP("Headers",A1:CV300,124,FALSE)/HLOOKUP("Mins",A1:CV300,124,FALSE)* 90)</f>
      </c>
      <c r="BF124" s="24864">
        <f>IF(HLOOKUP("Mins",A1:CV300,124,FALSE)=0,0,HLOOKUP("SOT",A1:CV300,124,FALSE)/HLOOKUP("Mins",A1:CV300,124,FALSE)* 90)</f>
      </c>
      <c r="BG124" s="24865">
        <f>IF(HLOOKUP("Mins",A1:CV300,124,FALSE)=0,0,HLOOKUP("As",A1:CV300,124,FALSE)/HLOOKUP("Mins",A1:CV300,124,FALSE)* 90)</f>
      </c>
      <c r="BH124" s="24866">
        <f>IF(HLOOKUP("Mins",A1:CV300,124,FALSE)=0,0,HLOOKUP("FPL As",A1:CV300,124,FALSE)/HLOOKUP("Mins",A1:CV300,124,FALSE)* 90)</f>
      </c>
      <c r="BI124" s="24867">
        <f>IF(HLOOKUP("Mins",A1:CV300,124,FALSE)=0,0,HLOOKUP("BC Created",A1:CV300,124,FALSE)/HLOOKUP("Mins",A1:CV300,124,FALSE)* 90)</f>
      </c>
      <c r="BJ124" s="24868">
        <f>IF(HLOOKUP("Mins",A1:CV300,124,FALSE)=0,0,HLOOKUP("KP",A1:CV300,124,FALSE)/HLOOKUP("Mins",A1:CV300,124,FALSE)* 90)</f>
      </c>
      <c r="BK124" s="24869">
        <f>IF(HLOOKUP("Mins",A1:CV300,124,FALSE)=0,0,HLOOKUP("BC",A1:CV300,124,FALSE)/HLOOKUP("Mins",A1:CV300,124,FALSE)* 90)</f>
      </c>
      <c r="BL124" s="24870">
        <f>IF(HLOOKUP("Mins",A1:CV300,124,FALSE)=0,0,HLOOKUP("BC Miss",A1:CV300,124,FALSE)/HLOOKUP("Mins",A1:CV300,124,FALSE)* 90)</f>
      </c>
      <c r="BM124" s="24871">
        <f>IF(HLOOKUP("Mins",A1:CV300,124,FALSE)=0,0,HLOOKUP("Gs - BC",A1:CV300,124,FALSE)/HLOOKUP("Mins",A1:CV300,124,FALSE)* 90)</f>
      </c>
      <c r="BN124" s="24872">
        <f>IF(HLOOKUP("Mins",A1:CV300,124,FALSE)=0,0,HLOOKUP("GIB",A1:CV300,124,FALSE)/HLOOKUP("Mins",A1:CV300,124,FALSE)* 90)</f>
      </c>
      <c r="BO124" s="24873">
        <f>IF(HLOOKUP("Mins",A1:CV300,124,FALSE)=0,0,HLOOKUP("Gs - Open",A1:CV300,124,FALSE)/HLOOKUP("Mins",A1:CV300,124,FALSE)* 90)</f>
      </c>
      <c r="BP124" s="24874">
        <f>IF(HLOOKUP("Mins",A1:CV300,124,FALSE)=0,0,HLOOKUP("ICT Index",A1:CV300,124,FALSE)/HLOOKUP("Mins",A1:CV300,124,FALSE)* 90)</f>
      </c>
      <c r="BQ124" s="24875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4876">
        <f>0.0885*HLOOKUP("KP/90",A1:CV300,124,FALSE)</f>
      </c>
      <c r="BS124" s="24877">
        <f>5*HLOOKUP("xG/90",A1:CV300,124,FALSE)+3*HLOOKUP("xA/90",A1:CV300,124,FALSE)</f>
      </c>
      <c r="BT124" s="24878">
        <f>HLOOKUP("xPts/90",A1:CV300,124,FALSE)-(5*0.75*(HLOOKUP("PK Gs",A1:CV300,124,FALSE)+HLOOKUP("PK Miss",A1:CV300,124,FALSE))*90/HLOOKUP("Mins",A1:CV300,124,FALSE))</f>
      </c>
      <c r="BU124" s="24879">
        <f>IF(HLOOKUP("Mins",A1:CV300,124,FALSE)=0,0,HLOOKUP("fsXG",A1:CV300,124,FALSE)/HLOOKUP("Mins",A1:CV300,124,FALSE)* 90)</f>
      </c>
      <c r="BV124" s="24880">
        <f>IF(HLOOKUP("Mins",A1:CV300,124,FALSE)=0,0,HLOOKUP("fsXA",A1:CV300,124,FALSE)/HLOOKUP("Mins",A1:CV300,124,FALSE)* 90)</f>
      </c>
      <c r="BW124" s="24881">
        <f>5*HLOOKUP("fsXG/90",A1:CV300,124,FALSE)+3*HLOOKUP("fsXA/90",A1:CV300,124,FALSE)</f>
      </c>
      <c r="BX124" t="n" s="24882">
        <v>0.23596826195716858</v>
      </c>
      <c r="BY124" t="n" s="24883">
        <v>0.5214799642562866</v>
      </c>
      <c r="BZ124" s="24884">
        <f>5*HLOOKUP("uXG/90",A1:CV300,124,FALSE)+3*HLOOKUP("uXA/90",A1:CV300,124,FALSE)</f>
      </c>
    </row>
    <row r="125">
      <c r="A125" t="s" s="24885">
        <v>416</v>
      </c>
      <c r="B125" t="s" s="24886">
        <v>117</v>
      </c>
      <c r="C125" t="n" s="24887">
        <v>4.400000095367432</v>
      </c>
      <c r="D125" t="n" s="24888">
        <v>305.0</v>
      </c>
      <c r="E125" t="n" s="24889">
        <v>5.0</v>
      </c>
      <c r="F125" t="n" s="24890">
        <v>21.0</v>
      </c>
      <c r="G125" t="n" s="24891">
        <v>0.0</v>
      </c>
      <c r="H125" t="n" s="24892">
        <v>2.0</v>
      </c>
      <c r="I125" t="n" s="24893">
        <v>81.0</v>
      </c>
      <c r="J125" s="24894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4895">
        <v>0.0</v>
      </c>
      <c r="L125" t="n" s="24896">
        <v>1.0</v>
      </c>
      <c r="M125" t="n" s="24897">
        <v>3.0</v>
      </c>
      <c r="N125" t="n" s="24898">
        <v>5.0</v>
      </c>
      <c r="O125" t="n" s="24899">
        <v>1.0</v>
      </c>
      <c r="P125" s="24900">
        <f>IF(HLOOKUP("Shots",A1:CV300,125,FALSE)=0,0,HLOOKUP("SIB",A1:CV300,125,FALSE)/HLOOKUP("Shots",A1:CV300,125,FALSE))</f>
      </c>
      <c r="Q125" t="n" s="24901">
        <v>0.0</v>
      </c>
      <c r="R125" s="24902">
        <f>IF(HLOOKUP("Shots",A1:CV300,125,FALSE)=0,0,HLOOKUP("S6YD",A1:CV300,125,FALSE)/HLOOKUP("Shots",A1:CV300,125,FALSE))</f>
      </c>
      <c r="S125" t="n" s="24903">
        <v>0.0</v>
      </c>
      <c r="T125" s="24904">
        <f>IF(HLOOKUP("Shots",A1:CV300,125,FALSE)=0,0,HLOOKUP("Headers",A1:CV300,125,FALSE)/HLOOKUP("Shots",A1:CV300,125,FALSE))</f>
      </c>
      <c r="U125" t="n" s="24905">
        <v>0.0</v>
      </c>
      <c r="V125" s="24906">
        <f>IF(HLOOKUP("Shots",A1:CV300,125,FALSE)=0,0,HLOOKUP("SOT",A1:CV300,125,FALSE)/HLOOKUP("Shots",A1:CV300,125,FALSE))</f>
      </c>
      <c r="W125" s="24907">
        <f>IF(HLOOKUP("Shots",A1:CV300,125,FALSE)=0,0,HLOOKUP("Gs",A1:CV300,125,FALSE)/HLOOKUP("Shots",A1:CV300,125,FALSE))</f>
      </c>
      <c r="X125" t="n" s="24908">
        <v>1.0</v>
      </c>
      <c r="Y125" t="n" s="24909">
        <v>1.0</v>
      </c>
      <c r="Z125" t="n" s="24910">
        <v>2.0</v>
      </c>
      <c r="AA125" s="24911">
        <f>IF(HLOOKUP("KP",A1:CV300,125,FALSE)=0,0,HLOOKUP("As",A1:CV300,125,FALSE)/HLOOKUP("KP",A1:CV300,125,FALSE))</f>
      </c>
      <c r="AB125" s="24912"/>
      <c r="AC125" t="n" s="24913">
        <v>17.0</v>
      </c>
      <c r="AD125" t="n" s="24914">
        <v>1.0</v>
      </c>
      <c r="AE125" t="n" s="24915">
        <v>0.0</v>
      </c>
      <c r="AF125" t="n" s="24916">
        <v>0.0</v>
      </c>
      <c r="AG125" s="24917">
        <f>IF(HLOOKUP("BC",A1:CV300,125,FALSE)=0,0,HLOOKUP("Gs - BC",A1:CV300,125,FALSE)/HLOOKUP("BC",A1:CV300,125,FALSE))</f>
      </c>
      <c r="AH125" s="24918">
        <f>HLOOKUP("BC",A1:CV300,125,FALSE) - HLOOKUP("BC Miss",A1:CV300,125,FALSE)</f>
      </c>
      <c r="AI125" s="24919">
        <f>IF(HLOOKUP("Gs",A1:CV300,125,FALSE)=0,0,HLOOKUP("Gs - BC",A1:CV300,125,FALSE)/HLOOKUP("Gs",A1:CV300,125,FALSE))</f>
      </c>
      <c r="AJ125" t="n" s="24920">
        <v>0.0</v>
      </c>
      <c r="AK125" t="n" s="24921">
        <v>0.0</v>
      </c>
      <c r="AL125" s="24922">
        <f>HLOOKUP("BC",A1:CV300,125,FALSE) - (HLOOKUP("PK Gs",A1:CV300,125,FALSE) + HLOOKUP("PK Miss",A1:CV300,125,FALSE))</f>
      </c>
      <c r="AM125" s="24923">
        <f>HLOOKUP("BC Miss",A1:CV300,125,FALSE) - HLOOKUP("PK Miss",A1:CV300,125,FALSE)</f>
      </c>
      <c r="AN125" s="24924">
        <f>IF(HLOOKUP("BC - Open",A1:CV300,125,FALSE)=0,0,HLOOKUP("BC - Open Miss",A1:CV300,125,FALSE)/HLOOKUP("BC - Open",A1:CV300,125,FALSE))</f>
      </c>
      <c r="AO125" t="n" s="24925">
        <v>0.0</v>
      </c>
      <c r="AP125" s="24926">
        <f>IF(HLOOKUP("Gs",A1:CV300,125,FALSE)=0,0,HLOOKUP("GIB",A1:CV300,125,FALSE)/HLOOKUP("Gs",A1:CV300,125,FALSE))</f>
      </c>
      <c r="AQ125" t="n" s="24927">
        <v>0.0</v>
      </c>
      <c r="AR125" s="24928">
        <f>IF(HLOOKUP("Gs",A1:CV300,125,FALSE)=0,0,HLOOKUP("Gs - Open",A1:CV300,125,FALSE)/HLOOKUP("Gs",A1:CV300,125,FALSE))</f>
      </c>
      <c r="AS125" t="n" s="24929">
        <v>0.22</v>
      </c>
      <c r="AT125" t="n" s="24930">
        <v>0.12</v>
      </c>
      <c r="AU125" s="24931">
        <f>IF(HLOOKUP("Mins",A1:CV300,125,FALSE)=0,0,HLOOKUP("Pts",A1:CV300,125,FALSE)/HLOOKUP("Mins",A1:CV300,125,FALSE)* 90)</f>
      </c>
      <c r="AV125" s="24932">
        <f>IF(HLOOKUP("Apps",A1:CV300,125,FALSE)=0,0,HLOOKUP("Pts",A1:CV300,125,FALSE)/HLOOKUP("Apps",A1:CV300,125,FALSE)* 1)</f>
      </c>
      <c r="AW125" s="24933">
        <f>IF(HLOOKUP("Mins",A1:CV300,125,FALSE)=0,0,HLOOKUP("Gs",A1:CV300,125,FALSE)/HLOOKUP("Mins",A1:CV300,125,FALSE)* 90)</f>
      </c>
      <c r="AX125" s="24934">
        <f>IF(HLOOKUP("Mins",A1:CV300,125,FALSE)=0,0,HLOOKUP("Bonus",A1:CV300,125,FALSE)/HLOOKUP("Mins",A1:CV300,125,FALSE)* 90)</f>
      </c>
      <c r="AY125" s="24935">
        <f>IF(HLOOKUP("Mins",A1:CV300,125,FALSE)=0,0,HLOOKUP("BPS",A1:CV300,125,FALSE)/HLOOKUP("Mins",A1:CV300,125,FALSE)* 90)</f>
      </c>
      <c r="AZ125" s="24936">
        <f>IF(HLOOKUP("Mins",A1:CV300,125,FALSE)=0,0,HLOOKUP("Base BPS",A1:CV300,125,FALSE)/HLOOKUP("Mins",A1:CV300,125,FALSE)* 90)</f>
      </c>
      <c r="BA125" s="24937">
        <f>IF(HLOOKUP("Mins",A1:CV300,125,FALSE)=0,0,HLOOKUP("PenTchs",A1:CV300,125,FALSE)/HLOOKUP("Mins",A1:CV300,125,FALSE)* 90)</f>
      </c>
      <c r="BB125" s="24938">
        <f>IF(HLOOKUP("Mins",A1:CV300,125,FALSE)=0,0,HLOOKUP("Shots",A1:CV300,125,FALSE)/HLOOKUP("Mins",A1:CV300,125,FALSE)* 90)</f>
      </c>
      <c r="BC125" s="24939">
        <f>IF(HLOOKUP("Mins",A1:CV300,125,FALSE)=0,0,HLOOKUP("SIB",A1:CV300,125,FALSE)/HLOOKUP("Mins",A1:CV300,125,FALSE)* 90)</f>
      </c>
      <c r="BD125" s="24940">
        <f>IF(HLOOKUP("Mins",A1:CV300,125,FALSE)=0,0,HLOOKUP("S6YD",A1:CV300,125,FALSE)/HLOOKUP("Mins",A1:CV300,125,FALSE)* 90)</f>
      </c>
      <c r="BE125" s="24941">
        <f>IF(HLOOKUP("Mins",A1:CV300,125,FALSE)=0,0,HLOOKUP("Headers",A1:CV300,125,FALSE)/HLOOKUP("Mins",A1:CV300,125,FALSE)* 90)</f>
      </c>
      <c r="BF125" s="24942">
        <f>IF(HLOOKUP("Mins",A1:CV300,125,FALSE)=0,0,HLOOKUP("SOT",A1:CV300,125,FALSE)/HLOOKUP("Mins",A1:CV300,125,FALSE)* 90)</f>
      </c>
      <c r="BG125" s="24943">
        <f>IF(HLOOKUP("Mins",A1:CV300,125,FALSE)=0,0,HLOOKUP("As",A1:CV300,125,FALSE)/HLOOKUP("Mins",A1:CV300,125,FALSE)* 90)</f>
      </c>
      <c r="BH125" s="24944">
        <f>IF(HLOOKUP("Mins",A1:CV300,125,FALSE)=0,0,HLOOKUP("FPL As",A1:CV300,125,FALSE)/HLOOKUP("Mins",A1:CV300,125,FALSE)* 90)</f>
      </c>
      <c r="BI125" s="24945">
        <f>IF(HLOOKUP("Mins",A1:CV300,125,FALSE)=0,0,HLOOKUP("BC Created",A1:CV300,125,FALSE)/HLOOKUP("Mins",A1:CV300,125,FALSE)* 90)</f>
      </c>
      <c r="BJ125" s="24946">
        <f>IF(HLOOKUP("Mins",A1:CV300,125,FALSE)=0,0,HLOOKUP("KP",A1:CV300,125,FALSE)/HLOOKUP("Mins",A1:CV300,125,FALSE)* 90)</f>
      </c>
      <c r="BK125" s="24947">
        <f>IF(HLOOKUP("Mins",A1:CV300,125,FALSE)=0,0,HLOOKUP("BC",A1:CV300,125,FALSE)/HLOOKUP("Mins",A1:CV300,125,FALSE)* 90)</f>
      </c>
      <c r="BL125" s="24948">
        <f>IF(HLOOKUP("Mins",A1:CV300,125,FALSE)=0,0,HLOOKUP("BC Miss",A1:CV300,125,FALSE)/HLOOKUP("Mins",A1:CV300,125,FALSE)* 90)</f>
      </c>
      <c r="BM125" s="24949">
        <f>IF(HLOOKUP("Mins",A1:CV300,125,FALSE)=0,0,HLOOKUP("Gs - BC",A1:CV300,125,FALSE)/HLOOKUP("Mins",A1:CV300,125,FALSE)* 90)</f>
      </c>
      <c r="BN125" s="24950">
        <f>IF(HLOOKUP("Mins",A1:CV300,125,FALSE)=0,0,HLOOKUP("GIB",A1:CV300,125,FALSE)/HLOOKUP("Mins",A1:CV300,125,FALSE)* 90)</f>
      </c>
      <c r="BO125" s="24951">
        <f>IF(HLOOKUP("Mins",A1:CV300,125,FALSE)=0,0,HLOOKUP("Gs - Open",A1:CV300,125,FALSE)/HLOOKUP("Mins",A1:CV300,125,FALSE)* 90)</f>
      </c>
      <c r="BP125" s="24952">
        <f>IF(HLOOKUP("Mins",A1:CV300,125,FALSE)=0,0,HLOOKUP("ICT Index",A1:CV300,125,FALSE)/HLOOKUP("Mins",A1:CV300,125,FALSE)* 90)</f>
      </c>
      <c r="BQ125" s="24953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4954">
        <f>0.0885*HLOOKUP("KP/90",A1:CV300,125,FALSE)</f>
      </c>
      <c r="BS125" s="24955">
        <f>5*HLOOKUP("xG/90",A1:CV300,125,FALSE)+3*HLOOKUP("xA/90",A1:CV300,125,FALSE)</f>
      </c>
      <c r="BT125" s="24956">
        <f>HLOOKUP("xPts/90",A1:CV300,125,FALSE)-(5*0.75*(HLOOKUP("PK Gs",A1:CV300,125,FALSE)+HLOOKUP("PK Miss",A1:CV300,125,FALSE))*90/HLOOKUP("Mins",A1:CV300,125,FALSE))</f>
      </c>
      <c r="BU125" s="24957">
        <f>IF(HLOOKUP("Mins",A1:CV300,125,FALSE)=0,0,HLOOKUP("fsXG",A1:CV300,125,FALSE)/HLOOKUP("Mins",A1:CV300,125,FALSE)* 90)</f>
      </c>
      <c r="BV125" s="24958">
        <f>IF(HLOOKUP("Mins",A1:CV300,125,FALSE)=0,0,HLOOKUP("fsXA",A1:CV300,125,FALSE)/HLOOKUP("Mins",A1:CV300,125,FALSE)* 90)</f>
      </c>
      <c r="BW125" s="24959">
        <f>5*HLOOKUP("fsXG/90",A1:CV300,125,FALSE)+3*HLOOKUP("fsXA/90",A1:CV300,125,FALSE)</f>
      </c>
      <c r="BX125" t="n" s="24960">
        <v>0.0776294693350792</v>
      </c>
      <c r="BY125" t="n" s="24961">
        <v>0.10310393571853638</v>
      </c>
      <c r="BZ125" s="24962">
        <f>5*HLOOKUP("uXG/90",A1:CV300,125,FALSE)+3*HLOOKUP("uXA/90",A1:CV300,125,FALSE)</f>
      </c>
    </row>
    <row r="126">
      <c r="A126" t="s" s="24963">
        <v>417</v>
      </c>
      <c r="B126" t="s" s="24964">
        <v>107</v>
      </c>
      <c r="C126" t="n" s="24965">
        <v>4.400000095367432</v>
      </c>
      <c r="D126" t="n" s="24966">
        <v>407.0</v>
      </c>
      <c r="E126" t="n" s="24967">
        <v>6.0</v>
      </c>
      <c r="F126" t="n" s="24968">
        <v>18.0</v>
      </c>
      <c r="G126" t="n" s="24969">
        <v>0.0</v>
      </c>
      <c r="H126" t="n" s="24970">
        <v>0.0</v>
      </c>
      <c r="I126" t="n" s="24971">
        <v>82.0</v>
      </c>
      <c r="J126" s="24972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4973">
        <v>0.0</v>
      </c>
      <c r="L126" t="n" s="24974">
        <v>0.0</v>
      </c>
      <c r="M126" t="n" s="24975">
        <v>4.0</v>
      </c>
      <c r="N126" t="n" s="24976">
        <v>3.0</v>
      </c>
      <c r="O126" t="n" s="24977">
        <v>1.0</v>
      </c>
      <c r="P126" s="24978">
        <f>IF(HLOOKUP("Shots",A1:CV300,126,FALSE)=0,0,HLOOKUP("SIB",A1:CV300,126,FALSE)/HLOOKUP("Shots",A1:CV300,126,FALSE))</f>
      </c>
      <c r="Q126" t="n" s="24979">
        <v>1.0</v>
      </c>
      <c r="R126" s="24980">
        <f>IF(HLOOKUP("Shots",A1:CV300,126,FALSE)=0,0,HLOOKUP("S6YD",A1:CV300,126,FALSE)/HLOOKUP("Shots",A1:CV300,126,FALSE))</f>
      </c>
      <c r="S126" t="n" s="24981">
        <v>0.0</v>
      </c>
      <c r="T126" s="24982">
        <f>IF(HLOOKUP("Shots",A1:CV300,126,FALSE)=0,0,HLOOKUP("Headers",A1:CV300,126,FALSE)/HLOOKUP("Shots",A1:CV300,126,FALSE))</f>
      </c>
      <c r="U126" t="n" s="24983">
        <v>0.0</v>
      </c>
      <c r="V126" s="24984">
        <f>IF(HLOOKUP("Shots",A1:CV300,126,FALSE)=0,0,HLOOKUP("SOT",A1:CV300,126,FALSE)/HLOOKUP("Shots",A1:CV300,126,FALSE))</f>
      </c>
      <c r="W126" s="24985">
        <f>IF(HLOOKUP("Shots",A1:CV300,126,FALSE)=0,0,HLOOKUP("Gs",A1:CV300,126,FALSE)/HLOOKUP("Shots",A1:CV300,126,FALSE))</f>
      </c>
      <c r="X126" t="n" s="24986">
        <v>0.0</v>
      </c>
      <c r="Y126" t="n" s="24987">
        <v>0.0</v>
      </c>
      <c r="Z126" t="n" s="24988">
        <v>2.0</v>
      </c>
      <c r="AA126" s="24989">
        <f>IF(HLOOKUP("KP",A1:CV300,126,FALSE)=0,0,HLOOKUP("As",A1:CV300,126,FALSE)/HLOOKUP("KP",A1:CV300,126,FALSE))</f>
      </c>
      <c r="AB126" s="24990"/>
      <c r="AC126" t="n" s="24991">
        <v>0.0</v>
      </c>
      <c r="AD126" t="n" s="24992">
        <v>0.0</v>
      </c>
      <c r="AE126" t="n" s="24993">
        <v>0.0</v>
      </c>
      <c r="AF126" t="n" s="24994">
        <v>0.0</v>
      </c>
      <c r="AG126" s="24995">
        <f>IF(HLOOKUP("BC",A1:CV300,126,FALSE)=0,0,HLOOKUP("Gs - BC",A1:CV300,126,FALSE)/HLOOKUP("BC",A1:CV300,126,FALSE))</f>
      </c>
      <c r="AH126" s="24996">
        <f>HLOOKUP("BC",A1:CV300,126,FALSE) - HLOOKUP("BC Miss",A1:CV300,126,FALSE)</f>
      </c>
      <c r="AI126" s="24997">
        <f>IF(HLOOKUP("Gs",A1:CV300,126,FALSE)=0,0,HLOOKUP("Gs - BC",A1:CV300,126,FALSE)/HLOOKUP("Gs",A1:CV300,126,FALSE))</f>
      </c>
      <c r="AJ126" t="n" s="24998">
        <v>0.0</v>
      </c>
      <c r="AK126" t="n" s="24999">
        <v>0.0</v>
      </c>
      <c r="AL126" s="25000">
        <f>HLOOKUP("BC",A1:CV300,126,FALSE) - (HLOOKUP("PK Gs",A1:CV300,126,FALSE) + HLOOKUP("PK Miss",A1:CV300,126,FALSE))</f>
      </c>
      <c r="AM126" s="25001">
        <f>HLOOKUP("BC Miss",A1:CV300,126,FALSE) - HLOOKUP("PK Miss",A1:CV300,126,FALSE)</f>
      </c>
      <c r="AN126" s="25002">
        <f>IF(HLOOKUP("BC - Open",A1:CV300,126,FALSE)=0,0,HLOOKUP("BC - Open Miss",A1:CV300,126,FALSE)/HLOOKUP("BC - Open",A1:CV300,126,FALSE))</f>
      </c>
      <c r="AO126" t="n" s="25003">
        <v>0.0</v>
      </c>
      <c r="AP126" s="25004">
        <f>IF(HLOOKUP("Gs",A1:CV300,126,FALSE)=0,0,HLOOKUP("GIB",A1:CV300,126,FALSE)/HLOOKUP("Gs",A1:CV300,126,FALSE))</f>
      </c>
      <c r="AQ126" t="n" s="25005">
        <v>0.0</v>
      </c>
      <c r="AR126" s="25006">
        <f>IF(HLOOKUP("Gs",A1:CV300,126,FALSE)=0,0,HLOOKUP("Gs - Open",A1:CV300,126,FALSE)/HLOOKUP("Gs",A1:CV300,126,FALSE))</f>
      </c>
      <c r="AS126" t="n" s="25007">
        <v>0.19</v>
      </c>
      <c r="AT126" t="n" s="25008">
        <v>0.1</v>
      </c>
      <c r="AU126" s="25009">
        <f>IF(HLOOKUP("Mins",A1:CV300,126,FALSE)=0,0,HLOOKUP("Pts",A1:CV300,126,FALSE)/HLOOKUP("Mins",A1:CV300,126,FALSE)* 90)</f>
      </c>
      <c r="AV126" s="25010">
        <f>IF(HLOOKUP("Apps",A1:CV300,126,FALSE)=0,0,HLOOKUP("Pts",A1:CV300,126,FALSE)/HLOOKUP("Apps",A1:CV300,126,FALSE)* 1)</f>
      </c>
      <c r="AW126" s="25011">
        <f>IF(HLOOKUP("Mins",A1:CV300,126,FALSE)=0,0,HLOOKUP("Gs",A1:CV300,126,FALSE)/HLOOKUP("Mins",A1:CV300,126,FALSE)* 90)</f>
      </c>
      <c r="AX126" s="25012">
        <f>IF(HLOOKUP("Mins",A1:CV300,126,FALSE)=0,0,HLOOKUP("Bonus",A1:CV300,126,FALSE)/HLOOKUP("Mins",A1:CV300,126,FALSE)* 90)</f>
      </c>
      <c r="AY126" s="25013">
        <f>IF(HLOOKUP("Mins",A1:CV300,126,FALSE)=0,0,HLOOKUP("BPS",A1:CV300,126,FALSE)/HLOOKUP("Mins",A1:CV300,126,FALSE)* 90)</f>
      </c>
      <c r="AZ126" s="25014">
        <f>IF(HLOOKUP("Mins",A1:CV300,126,FALSE)=0,0,HLOOKUP("Base BPS",A1:CV300,126,FALSE)/HLOOKUP("Mins",A1:CV300,126,FALSE)* 90)</f>
      </c>
      <c r="BA126" s="25015">
        <f>IF(HLOOKUP("Mins",A1:CV300,126,FALSE)=0,0,HLOOKUP("PenTchs",A1:CV300,126,FALSE)/HLOOKUP("Mins",A1:CV300,126,FALSE)* 90)</f>
      </c>
      <c r="BB126" s="25016">
        <f>IF(HLOOKUP("Mins",A1:CV300,126,FALSE)=0,0,HLOOKUP("Shots",A1:CV300,126,FALSE)/HLOOKUP("Mins",A1:CV300,126,FALSE)* 90)</f>
      </c>
      <c r="BC126" s="25017">
        <f>IF(HLOOKUP("Mins",A1:CV300,126,FALSE)=0,0,HLOOKUP("SIB",A1:CV300,126,FALSE)/HLOOKUP("Mins",A1:CV300,126,FALSE)* 90)</f>
      </c>
      <c r="BD126" s="25018">
        <f>IF(HLOOKUP("Mins",A1:CV300,126,FALSE)=0,0,HLOOKUP("S6YD",A1:CV300,126,FALSE)/HLOOKUP("Mins",A1:CV300,126,FALSE)* 90)</f>
      </c>
      <c r="BE126" s="25019">
        <f>IF(HLOOKUP("Mins",A1:CV300,126,FALSE)=0,0,HLOOKUP("Headers",A1:CV300,126,FALSE)/HLOOKUP("Mins",A1:CV300,126,FALSE)* 90)</f>
      </c>
      <c r="BF126" s="25020">
        <f>IF(HLOOKUP("Mins",A1:CV300,126,FALSE)=0,0,HLOOKUP("SOT",A1:CV300,126,FALSE)/HLOOKUP("Mins",A1:CV300,126,FALSE)* 90)</f>
      </c>
      <c r="BG126" s="25021">
        <f>IF(HLOOKUP("Mins",A1:CV300,126,FALSE)=0,0,HLOOKUP("As",A1:CV300,126,FALSE)/HLOOKUP("Mins",A1:CV300,126,FALSE)* 90)</f>
      </c>
      <c r="BH126" s="25022">
        <f>IF(HLOOKUP("Mins",A1:CV300,126,FALSE)=0,0,HLOOKUP("FPL As",A1:CV300,126,FALSE)/HLOOKUP("Mins",A1:CV300,126,FALSE)* 90)</f>
      </c>
      <c r="BI126" s="25023">
        <f>IF(HLOOKUP("Mins",A1:CV300,126,FALSE)=0,0,HLOOKUP("BC Created",A1:CV300,126,FALSE)/HLOOKUP("Mins",A1:CV300,126,FALSE)* 90)</f>
      </c>
      <c r="BJ126" s="25024">
        <f>IF(HLOOKUP("Mins",A1:CV300,126,FALSE)=0,0,HLOOKUP("KP",A1:CV300,126,FALSE)/HLOOKUP("Mins",A1:CV300,126,FALSE)* 90)</f>
      </c>
      <c r="BK126" s="25025">
        <f>IF(HLOOKUP("Mins",A1:CV300,126,FALSE)=0,0,HLOOKUP("BC",A1:CV300,126,FALSE)/HLOOKUP("Mins",A1:CV300,126,FALSE)* 90)</f>
      </c>
      <c r="BL126" s="25026">
        <f>IF(HLOOKUP("Mins",A1:CV300,126,FALSE)=0,0,HLOOKUP("BC Miss",A1:CV300,126,FALSE)/HLOOKUP("Mins",A1:CV300,126,FALSE)* 90)</f>
      </c>
      <c r="BM126" s="25027">
        <f>IF(HLOOKUP("Mins",A1:CV300,126,FALSE)=0,0,HLOOKUP("Gs - BC",A1:CV300,126,FALSE)/HLOOKUP("Mins",A1:CV300,126,FALSE)* 90)</f>
      </c>
      <c r="BN126" s="25028">
        <f>IF(HLOOKUP("Mins",A1:CV300,126,FALSE)=0,0,HLOOKUP("GIB",A1:CV300,126,FALSE)/HLOOKUP("Mins",A1:CV300,126,FALSE)* 90)</f>
      </c>
      <c r="BO126" s="25029">
        <f>IF(HLOOKUP("Mins",A1:CV300,126,FALSE)=0,0,HLOOKUP("Gs - Open",A1:CV300,126,FALSE)/HLOOKUP("Mins",A1:CV300,126,FALSE)* 90)</f>
      </c>
      <c r="BP126" s="25030">
        <f>IF(HLOOKUP("Mins",A1:CV300,126,FALSE)=0,0,HLOOKUP("ICT Index",A1:CV300,126,FALSE)/HLOOKUP("Mins",A1:CV300,126,FALSE)* 90)</f>
      </c>
      <c r="BQ126" s="25031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5032">
        <f>0.0885*HLOOKUP("KP/90",A1:CV300,126,FALSE)</f>
      </c>
      <c r="BS126" s="25033">
        <f>5*HLOOKUP("xG/90",A1:CV300,126,FALSE)+3*HLOOKUP("xA/90",A1:CV300,126,FALSE)</f>
      </c>
      <c r="BT126" s="25034">
        <f>HLOOKUP("xPts/90",A1:CV300,126,FALSE)-(5*0.75*(HLOOKUP("PK Gs",A1:CV300,126,FALSE)+HLOOKUP("PK Miss",A1:CV300,126,FALSE))*90/HLOOKUP("Mins",A1:CV300,126,FALSE))</f>
      </c>
      <c r="BU126" s="25035">
        <f>IF(HLOOKUP("Mins",A1:CV300,126,FALSE)=0,0,HLOOKUP("fsXG",A1:CV300,126,FALSE)/HLOOKUP("Mins",A1:CV300,126,FALSE)* 90)</f>
      </c>
      <c r="BV126" s="25036">
        <f>IF(HLOOKUP("Mins",A1:CV300,126,FALSE)=0,0,HLOOKUP("fsXA",A1:CV300,126,FALSE)/HLOOKUP("Mins",A1:CV300,126,FALSE)* 90)</f>
      </c>
      <c r="BW126" s="25037">
        <f>5*HLOOKUP("fsXG/90",A1:CV300,126,FALSE)+3*HLOOKUP("fsXA/90",A1:CV300,126,FALSE)</f>
      </c>
      <c r="BX126" t="n" s="25038">
        <v>0.028158292174339294</v>
      </c>
      <c r="BY126" t="n" s="25039">
        <v>0.026451431214809418</v>
      </c>
      <c r="BZ126" s="25040">
        <f>5*HLOOKUP("uXG/90",A1:CV300,126,FALSE)+3*HLOOKUP("uXA/90",A1:CV300,126,FALSE)</f>
      </c>
    </row>
    <row r="127">
      <c r="A127" t="s" s="25041">
        <v>418</v>
      </c>
      <c r="B127" t="s" s="25042">
        <v>105</v>
      </c>
      <c r="C127" t="n" s="25043">
        <v>8.5</v>
      </c>
      <c r="D127" t="n" s="25044">
        <v>424.0</v>
      </c>
      <c r="E127" t="n" s="25045">
        <v>6.0</v>
      </c>
      <c r="F127" t="n" s="25046">
        <v>106.0</v>
      </c>
      <c r="G127" t="n" s="25047">
        <v>3.0</v>
      </c>
      <c r="H127" t="n" s="25048">
        <v>12.0</v>
      </c>
      <c r="I127" t="n" s="25049">
        <v>409.0</v>
      </c>
      <c r="J127" s="25050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5051">
        <v>0.0</v>
      </c>
      <c r="L127" t="n" s="25052">
        <v>4.0</v>
      </c>
      <c r="M127" t="n" s="25053">
        <v>37.0</v>
      </c>
      <c r="N127" t="n" s="25054">
        <v>21.0</v>
      </c>
      <c r="O127" t="n" s="25055">
        <v>16.0</v>
      </c>
      <c r="P127" s="25056">
        <f>IF(HLOOKUP("Shots",A1:CV300,127,FALSE)=0,0,HLOOKUP("SIB",A1:CV300,127,FALSE)/HLOOKUP("Shots",A1:CV300,127,FALSE))</f>
      </c>
      <c r="Q127" t="n" s="25057">
        <v>1.0</v>
      </c>
      <c r="R127" s="25058">
        <f>IF(HLOOKUP("Shots",A1:CV300,127,FALSE)=0,0,HLOOKUP("S6YD",A1:CV300,127,FALSE)/HLOOKUP("Shots",A1:CV300,127,FALSE))</f>
      </c>
      <c r="S127" t="n" s="25059">
        <v>0.0</v>
      </c>
      <c r="T127" s="25060">
        <f>IF(HLOOKUP("Shots",A1:CV300,127,FALSE)=0,0,HLOOKUP("Headers",A1:CV300,127,FALSE)/HLOOKUP("Shots",A1:CV300,127,FALSE))</f>
      </c>
      <c r="U127" t="n" s="25061">
        <v>8.0</v>
      </c>
      <c r="V127" s="25062">
        <f>IF(HLOOKUP("Shots",A1:CV300,127,FALSE)=0,0,HLOOKUP("SOT",A1:CV300,127,FALSE)/HLOOKUP("Shots",A1:CV300,127,FALSE))</f>
      </c>
      <c r="W127" s="25063">
        <f>IF(HLOOKUP("Shots",A1:CV300,127,FALSE)=0,0,HLOOKUP("Gs",A1:CV300,127,FALSE)/HLOOKUP("Shots",A1:CV300,127,FALSE))</f>
      </c>
      <c r="X127" t="n" s="25064">
        <v>3.0</v>
      </c>
      <c r="Y127" t="n" s="25065">
        <v>9.0</v>
      </c>
      <c r="Z127" t="n" s="25066">
        <v>11.0</v>
      </c>
      <c r="AA127" s="25067">
        <f>IF(HLOOKUP("KP",A1:CV300,127,FALSE)=0,0,HLOOKUP("As",A1:CV300,127,FALSE)/HLOOKUP("KP",A1:CV300,127,FALSE))</f>
      </c>
      <c r="AB127" s="25068"/>
      <c r="AC127" t="n" s="25069">
        <v>43.0</v>
      </c>
      <c r="AD127" t="n" s="25070">
        <v>4.0</v>
      </c>
      <c r="AE127" t="n" s="25071">
        <v>1.0</v>
      </c>
      <c r="AF127" t="n" s="25072">
        <v>0.0</v>
      </c>
      <c r="AG127" s="25073">
        <f>IF(HLOOKUP("BC",A1:CV300,127,FALSE)=0,0,HLOOKUP("Gs - BC",A1:CV300,127,FALSE)/HLOOKUP("BC",A1:CV300,127,FALSE))</f>
      </c>
      <c r="AH127" s="25074">
        <f>HLOOKUP("BC",A1:CV300,127,FALSE) - HLOOKUP("BC Miss",A1:CV300,127,FALSE)</f>
      </c>
      <c r="AI127" s="25075">
        <f>IF(HLOOKUP("Gs",A1:CV300,127,FALSE)=0,0,HLOOKUP("Gs - BC",A1:CV300,127,FALSE)/HLOOKUP("Gs",A1:CV300,127,FALSE))</f>
      </c>
      <c r="AJ127" t="n" s="25076">
        <v>0.0</v>
      </c>
      <c r="AK127" t="n" s="25077">
        <v>0.0</v>
      </c>
      <c r="AL127" s="25078">
        <f>HLOOKUP("BC",A1:CV300,127,FALSE) - (HLOOKUP("PK Gs",A1:CV300,127,FALSE) + HLOOKUP("PK Miss",A1:CV300,127,FALSE))</f>
      </c>
      <c r="AM127" s="25079">
        <f>HLOOKUP("BC Miss",A1:CV300,127,FALSE) - HLOOKUP("PK Miss",A1:CV300,127,FALSE)</f>
      </c>
      <c r="AN127" s="25080">
        <f>IF(HLOOKUP("BC - Open",A1:CV300,127,FALSE)=0,0,HLOOKUP("BC - Open Miss",A1:CV300,127,FALSE)/HLOOKUP("BC - Open",A1:CV300,127,FALSE))</f>
      </c>
      <c r="AO127" t="n" s="25081">
        <v>2.0</v>
      </c>
      <c r="AP127" s="25082">
        <f>IF(HLOOKUP("Gs",A1:CV300,127,FALSE)=0,0,HLOOKUP("GIB",A1:CV300,127,FALSE)/HLOOKUP("Gs",A1:CV300,127,FALSE))</f>
      </c>
      <c r="AQ127" t="n" s="25083">
        <v>3.0</v>
      </c>
      <c r="AR127" s="25084">
        <f>IF(HLOOKUP("Gs",A1:CV300,127,FALSE)=0,0,HLOOKUP("Gs - Open",A1:CV300,127,FALSE)/HLOOKUP("Gs",A1:CV300,127,FALSE))</f>
      </c>
      <c r="AS127" t="n" s="25085">
        <v>1.78</v>
      </c>
      <c r="AT127" t="n" s="25086">
        <v>1.15</v>
      </c>
      <c r="AU127" s="25087">
        <f>IF(HLOOKUP("Mins",A1:CV300,127,FALSE)=0,0,HLOOKUP("Pts",A1:CV300,127,FALSE)/HLOOKUP("Mins",A1:CV300,127,FALSE)* 90)</f>
      </c>
      <c r="AV127" s="25088">
        <f>IF(HLOOKUP("Apps",A1:CV300,127,FALSE)=0,0,HLOOKUP("Pts",A1:CV300,127,FALSE)/HLOOKUP("Apps",A1:CV300,127,FALSE)* 1)</f>
      </c>
      <c r="AW127" s="25089">
        <f>IF(HLOOKUP("Mins",A1:CV300,127,FALSE)=0,0,HLOOKUP("Gs",A1:CV300,127,FALSE)/HLOOKUP("Mins",A1:CV300,127,FALSE)* 90)</f>
      </c>
      <c r="AX127" s="25090">
        <f>IF(HLOOKUP("Mins",A1:CV300,127,FALSE)=0,0,HLOOKUP("Bonus",A1:CV300,127,FALSE)/HLOOKUP("Mins",A1:CV300,127,FALSE)* 90)</f>
      </c>
      <c r="AY127" s="25091">
        <f>IF(HLOOKUP("Mins",A1:CV300,127,FALSE)=0,0,HLOOKUP("BPS",A1:CV300,127,FALSE)/HLOOKUP("Mins",A1:CV300,127,FALSE)* 90)</f>
      </c>
      <c r="AZ127" s="25092">
        <f>IF(HLOOKUP("Mins",A1:CV300,127,FALSE)=0,0,HLOOKUP("Base BPS",A1:CV300,127,FALSE)/HLOOKUP("Mins",A1:CV300,127,FALSE)* 90)</f>
      </c>
      <c r="BA127" s="25093">
        <f>IF(HLOOKUP("Mins",A1:CV300,127,FALSE)=0,0,HLOOKUP("PenTchs",A1:CV300,127,FALSE)/HLOOKUP("Mins",A1:CV300,127,FALSE)* 90)</f>
      </c>
      <c r="BB127" s="25094">
        <f>IF(HLOOKUP("Mins",A1:CV300,127,FALSE)=0,0,HLOOKUP("Shots",A1:CV300,127,FALSE)/HLOOKUP("Mins",A1:CV300,127,FALSE)* 90)</f>
      </c>
      <c r="BC127" s="25095">
        <f>IF(HLOOKUP("Mins",A1:CV300,127,FALSE)=0,0,HLOOKUP("SIB",A1:CV300,127,FALSE)/HLOOKUP("Mins",A1:CV300,127,FALSE)* 90)</f>
      </c>
      <c r="BD127" s="25096">
        <f>IF(HLOOKUP("Mins",A1:CV300,127,FALSE)=0,0,HLOOKUP("S6YD",A1:CV300,127,FALSE)/HLOOKUP("Mins",A1:CV300,127,FALSE)* 90)</f>
      </c>
      <c r="BE127" s="25097">
        <f>IF(HLOOKUP("Mins",A1:CV300,127,FALSE)=0,0,HLOOKUP("Headers",A1:CV300,127,FALSE)/HLOOKUP("Mins",A1:CV300,127,FALSE)* 90)</f>
      </c>
      <c r="BF127" s="25098">
        <f>IF(HLOOKUP("Mins",A1:CV300,127,FALSE)=0,0,HLOOKUP("SOT",A1:CV300,127,FALSE)/HLOOKUP("Mins",A1:CV300,127,FALSE)* 90)</f>
      </c>
      <c r="BG127" s="25099">
        <f>IF(HLOOKUP("Mins",A1:CV300,127,FALSE)=0,0,HLOOKUP("As",A1:CV300,127,FALSE)/HLOOKUP("Mins",A1:CV300,127,FALSE)* 90)</f>
      </c>
      <c r="BH127" s="25100">
        <f>IF(HLOOKUP("Mins",A1:CV300,127,FALSE)=0,0,HLOOKUP("FPL As",A1:CV300,127,FALSE)/HLOOKUP("Mins",A1:CV300,127,FALSE)* 90)</f>
      </c>
      <c r="BI127" s="25101">
        <f>IF(HLOOKUP("Mins",A1:CV300,127,FALSE)=0,0,HLOOKUP("BC Created",A1:CV300,127,FALSE)/HLOOKUP("Mins",A1:CV300,127,FALSE)* 90)</f>
      </c>
      <c r="BJ127" s="25102">
        <f>IF(HLOOKUP("Mins",A1:CV300,127,FALSE)=0,0,HLOOKUP("KP",A1:CV300,127,FALSE)/HLOOKUP("Mins",A1:CV300,127,FALSE)* 90)</f>
      </c>
      <c r="BK127" s="25103">
        <f>IF(HLOOKUP("Mins",A1:CV300,127,FALSE)=0,0,HLOOKUP("BC",A1:CV300,127,FALSE)/HLOOKUP("Mins",A1:CV300,127,FALSE)* 90)</f>
      </c>
      <c r="BL127" s="25104">
        <f>IF(HLOOKUP("Mins",A1:CV300,127,FALSE)=0,0,HLOOKUP("BC Miss",A1:CV300,127,FALSE)/HLOOKUP("Mins",A1:CV300,127,FALSE)* 90)</f>
      </c>
      <c r="BM127" s="25105">
        <f>IF(HLOOKUP("Mins",A1:CV300,127,FALSE)=0,0,HLOOKUP("Gs - BC",A1:CV300,127,FALSE)/HLOOKUP("Mins",A1:CV300,127,FALSE)* 90)</f>
      </c>
      <c r="BN127" s="25106">
        <f>IF(HLOOKUP("Mins",A1:CV300,127,FALSE)=0,0,HLOOKUP("GIB",A1:CV300,127,FALSE)/HLOOKUP("Mins",A1:CV300,127,FALSE)* 90)</f>
      </c>
      <c r="BO127" s="25107">
        <f>IF(HLOOKUP("Mins",A1:CV300,127,FALSE)=0,0,HLOOKUP("Gs - Open",A1:CV300,127,FALSE)/HLOOKUP("Mins",A1:CV300,127,FALSE)* 90)</f>
      </c>
      <c r="BP127" s="25108">
        <f>IF(HLOOKUP("Mins",A1:CV300,127,FALSE)=0,0,HLOOKUP("ICT Index",A1:CV300,127,FALSE)/HLOOKUP("Mins",A1:CV300,127,FALSE)* 90)</f>
      </c>
      <c r="BQ127" s="25109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5110">
        <f>0.0885*HLOOKUP("KP/90",A1:CV300,127,FALSE)</f>
      </c>
      <c r="BS127" s="25111">
        <f>5*HLOOKUP("xG/90",A1:CV300,127,FALSE)+3*HLOOKUP("xA/90",A1:CV300,127,FALSE)</f>
      </c>
      <c r="BT127" s="25112">
        <f>HLOOKUP("xPts/90",A1:CV300,127,FALSE)-(5*0.75*(HLOOKUP("PK Gs",A1:CV300,127,FALSE)+HLOOKUP("PK Miss",A1:CV300,127,FALSE))*90/HLOOKUP("Mins",A1:CV300,127,FALSE))</f>
      </c>
      <c r="BU127" s="25113">
        <f>IF(HLOOKUP("Mins",A1:CV300,127,FALSE)=0,0,HLOOKUP("fsXG",A1:CV300,127,FALSE)/HLOOKUP("Mins",A1:CV300,127,FALSE)* 90)</f>
      </c>
      <c r="BV127" s="25114">
        <f>IF(HLOOKUP("Mins",A1:CV300,127,FALSE)=0,0,HLOOKUP("fsXA",A1:CV300,127,FALSE)/HLOOKUP("Mins",A1:CV300,127,FALSE)* 90)</f>
      </c>
      <c r="BW127" s="25115">
        <f>5*HLOOKUP("fsXG/90",A1:CV300,127,FALSE)+3*HLOOKUP("fsXA/90",A1:CV300,127,FALSE)</f>
      </c>
      <c r="BX127" t="n" s="25116">
        <v>0.43913933634757996</v>
      </c>
      <c r="BY127" t="n" s="25117">
        <v>0.45713743567466736</v>
      </c>
      <c r="BZ127" s="25118">
        <f>5*HLOOKUP("uXG/90",A1:CV300,127,FALSE)+3*HLOOKUP("uXA/90",A1:CV300,127,FALSE)</f>
      </c>
    </row>
    <row r="128">
      <c r="A128" t="s" s="25119">
        <v>419</v>
      </c>
      <c r="B128" t="s" s="25120">
        <v>112</v>
      </c>
      <c r="C128" t="n" s="25121">
        <v>4.300000190734863</v>
      </c>
      <c r="D128" t="n" s="25122">
        <v>73.0</v>
      </c>
      <c r="E128" t="n" s="25123">
        <v>2.0</v>
      </c>
      <c r="F128" t="n" s="25124">
        <v>7.0</v>
      </c>
      <c r="G128" t="n" s="25125">
        <v>0.0</v>
      </c>
      <c r="H128" t="n" s="25126">
        <v>0.0</v>
      </c>
      <c r="I128" t="n" s="25127">
        <v>20.0</v>
      </c>
      <c r="J128" s="25128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5129">
        <v>0.0</v>
      </c>
      <c r="L128" t="n" s="25130">
        <v>0.0</v>
      </c>
      <c r="M128" t="n" s="25131">
        <v>0.0</v>
      </c>
      <c r="N128" t="n" s="25132">
        <v>0.0</v>
      </c>
      <c r="O128" t="n" s="25133">
        <v>0.0</v>
      </c>
      <c r="P128" s="25134">
        <f>IF(HLOOKUP("Shots",A1:CV300,128,FALSE)=0,0,HLOOKUP("SIB",A1:CV300,128,FALSE)/HLOOKUP("Shots",A1:CV300,128,FALSE))</f>
      </c>
      <c r="Q128" t="n" s="25135">
        <v>0.0</v>
      </c>
      <c r="R128" s="25136">
        <f>IF(HLOOKUP("Shots",A1:CV300,128,FALSE)=0,0,HLOOKUP("S6YD",A1:CV300,128,FALSE)/HLOOKUP("Shots",A1:CV300,128,FALSE))</f>
      </c>
      <c r="S128" t="n" s="25137">
        <v>0.0</v>
      </c>
      <c r="T128" s="25138">
        <f>IF(HLOOKUP("Shots",A1:CV300,128,FALSE)=0,0,HLOOKUP("Headers",A1:CV300,128,FALSE)/HLOOKUP("Shots",A1:CV300,128,FALSE))</f>
      </c>
      <c r="U128" t="n" s="25139">
        <v>0.0</v>
      </c>
      <c r="V128" s="25140">
        <f>IF(HLOOKUP("Shots",A1:CV300,128,FALSE)=0,0,HLOOKUP("SOT",A1:CV300,128,FALSE)/HLOOKUP("Shots",A1:CV300,128,FALSE))</f>
      </c>
      <c r="W128" s="25141">
        <f>IF(HLOOKUP("Shots",A1:CV300,128,FALSE)=0,0,HLOOKUP("Gs",A1:CV300,128,FALSE)/HLOOKUP("Shots",A1:CV300,128,FALSE))</f>
      </c>
      <c r="X128" t="n" s="25142">
        <v>0.0</v>
      </c>
      <c r="Y128" t="n" s="25143">
        <v>0.0</v>
      </c>
      <c r="Z128" t="n" s="25144">
        <v>0.0</v>
      </c>
      <c r="AA128" s="25145">
        <f>IF(HLOOKUP("KP",A1:CV300,128,FALSE)=0,0,HLOOKUP("As",A1:CV300,128,FALSE)/HLOOKUP("KP",A1:CV300,128,FALSE))</f>
      </c>
      <c r="AB128" s="25146"/>
      <c r="AC128" t="n" s="25147">
        <v>0.0</v>
      </c>
      <c r="AD128" t="n" s="25148">
        <v>0.0</v>
      </c>
      <c r="AE128" t="n" s="25149">
        <v>0.0</v>
      </c>
      <c r="AF128" t="n" s="25150">
        <v>0.0</v>
      </c>
      <c r="AG128" s="25151">
        <f>IF(HLOOKUP("BC",A1:CV300,128,FALSE)=0,0,HLOOKUP("Gs - BC",A1:CV300,128,FALSE)/HLOOKUP("BC",A1:CV300,128,FALSE))</f>
      </c>
      <c r="AH128" s="25152">
        <f>HLOOKUP("BC",A1:CV300,128,FALSE) - HLOOKUP("BC Miss",A1:CV300,128,FALSE)</f>
      </c>
      <c r="AI128" s="25153">
        <f>IF(HLOOKUP("Gs",A1:CV300,128,FALSE)=0,0,HLOOKUP("Gs - BC",A1:CV300,128,FALSE)/HLOOKUP("Gs",A1:CV300,128,FALSE))</f>
      </c>
      <c r="AJ128" t="n" s="25154">
        <v>0.0</v>
      </c>
      <c r="AK128" t="n" s="25155">
        <v>0.0</v>
      </c>
      <c r="AL128" s="25156">
        <f>HLOOKUP("BC",A1:CV300,128,FALSE) - (HLOOKUP("PK Gs",A1:CV300,128,FALSE) + HLOOKUP("PK Miss",A1:CV300,128,FALSE))</f>
      </c>
      <c r="AM128" s="25157">
        <f>HLOOKUP("BC Miss",A1:CV300,128,FALSE) - HLOOKUP("PK Miss",A1:CV300,128,FALSE)</f>
      </c>
      <c r="AN128" s="25158">
        <f>IF(HLOOKUP("BC - Open",A1:CV300,128,FALSE)=0,0,HLOOKUP("BC - Open Miss",A1:CV300,128,FALSE)/HLOOKUP("BC - Open",A1:CV300,128,FALSE))</f>
      </c>
      <c r="AO128" t="n" s="25159">
        <v>0.0</v>
      </c>
      <c r="AP128" s="25160">
        <f>IF(HLOOKUP("Gs",A1:CV300,128,FALSE)=0,0,HLOOKUP("GIB",A1:CV300,128,FALSE)/HLOOKUP("Gs",A1:CV300,128,FALSE))</f>
      </c>
      <c r="AQ128" t="n" s="25161">
        <v>0.0</v>
      </c>
      <c r="AR128" s="25162">
        <f>IF(HLOOKUP("Gs",A1:CV300,128,FALSE)=0,0,HLOOKUP("Gs - Open",A1:CV300,128,FALSE)/HLOOKUP("Gs",A1:CV300,128,FALSE))</f>
      </c>
      <c r="AS128" t="n" s="25163">
        <v>0.0</v>
      </c>
      <c r="AT128" t="n" s="25164">
        <v>0.01</v>
      </c>
      <c r="AU128" s="25165">
        <f>IF(HLOOKUP("Mins",A1:CV300,128,FALSE)=0,0,HLOOKUP("Pts",A1:CV300,128,FALSE)/HLOOKUP("Mins",A1:CV300,128,FALSE)* 90)</f>
      </c>
      <c r="AV128" s="25166">
        <f>IF(HLOOKUP("Apps",A1:CV300,128,FALSE)=0,0,HLOOKUP("Pts",A1:CV300,128,FALSE)/HLOOKUP("Apps",A1:CV300,128,FALSE)* 1)</f>
      </c>
      <c r="AW128" s="25167">
        <f>IF(HLOOKUP("Mins",A1:CV300,128,FALSE)=0,0,HLOOKUP("Gs",A1:CV300,128,FALSE)/HLOOKUP("Mins",A1:CV300,128,FALSE)* 90)</f>
      </c>
      <c r="AX128" s="25168">
        <f>IF(HLOOKUP("Mins",A1:CV300,128,FALSE)=0,0,HLOOKUP("Bonus",A1:CV300,128,FALSE)/HLOOKUP("Mins",A1:CV300,128,FALSE)* 90)</f>
      </c>
      <c r="AY128" s="25169">
        <f>IF(HLOOKUP("Mins",A1:CV300,128,FALSE)=0,0,HLOOKUP("BPS",A1:CV300,128,FALSE)/HLOOKUP("Mins",A1:CV300,128,FALSE)* 90)</f>
      </c>
      <c r="AZ128" s="25170">
        <f>IF(HLOOKUP("Mins",A1:CV300,128,FALSE)=0,0,HLOOKUP("Base BPS",A1:CV300,128,FALSE)/HLOOKUP("Mins",A1:CV300,128,FALSE)* 90)</f>
      </c>
      <c r="BA128" s="25171">
        <f>IF(HLOOKUP("Mins",A1:CV300,128,FALSE)=0,0,HLOOKUP("PenTchs",A1:CV300,128,FALSE)/HLOOKUP("Mins",A1:CV300,128,FALSE)* 90)</f>
      </c>
      <c r="BB128" s="25172">
        <f>IF(HLOOKUP("Mins",A1:CV300,128,FALSE)=0,0,HLOOKUP("Shots",A1:CV300,128,FALSE)/HLOOKUP("Mins",A1:CV300,128,FALSE)* 90)</f>
      </c>
      <c r="BC128" s="25173">
        <f>IF(HLOOKUP("Mins",A1:CV300,128,FALSE)=0,0,HLOOKUP("SIB",A1:CV300,128,FALSE)/HLOOKUP("Mins",A1:CV300,128,FALSE)* 90)</f>
      </c>
      <c r="BD128" s="25174">
        <f>IF(HLOOKUP("Mins",A1:CV300,128,FALSE)=0,0,HLOOKUP("S6YD",A1:CV300,128,FALSE)/HLOOKUP("Mins",A1:CV300,128,FALSE)* 90)</f>
      </c>
      <c r="BE128" s="25175">
        <f>IF(HLOOKUP("Mins",A1:CV300,128,FALSE)=0,0,HLOOKUP("Headers",A1:CV300,128,FALSE)/HLOOKUP("Mins",A1:CV300,128,FALSE)* 90)</f>
      </c>
      <c r="BF128" s="25176">
        <f>IF(HLOOKUP("Mins",A1:CV300,128,FALSE)=0,0,HLOOKUP("SOT",A1:CV300,128,FALSE)/HLOOKUP("Mins",A1:CV300,128,FALSE)* 90)</f>
      </c>
      <c r="BG128" s="25177">
        <f>IF(HLOOKUP("Mins",A1:CV300,128,FALSE)=0,0,HLOOKUP("As",A1:CV300,128,FALSE)/HLOOKUP("Mins",A1:CV300,128,FALSE)* 90)</f>
      </c>
      <c r="BH128" s="25178">
        <f>IF(HLOOKUP("Mins",A1:CV300,128,FALSE)=0,0,HLOOKUP("FPL As",A1:CV300,128,FALSE)/HLOOKUP("Mins",A1:CV300,128,FALSE)* 90)</f>
      </c>
      <c r="BI128" s="25179">
        <f>IF(HLOOKUP("Mins",A1:CV300,128,FALSE)=0,0,HLOOKUP("BC Created",A1:CV300,128,FALSE)/HLOOKUP("Mins",A1:CV300,128,FALSE)* 90)</f>
      </c>
      <c r="BJ128" s="25180">
        <f>IF(HLOOKUP("Mins",A1:CV300,128,FALSE)=0,0,HLOOKUP("KP",A1:CV300,128,FALSE)/HLOOKUP("Mins",A1:CV300,128,FALSE)* 90)</f>
      </c>
      <c r="BK128" s="25181">
        <f>IF(HLOOKUP("Mins",A1:CV300,128,FALSE)=0,0,HLOOKUP("BC",A1:CV300,128,FALSE)/HLOOKUP("Mins",A1:CV300,128,FALSE)* 90)</f>
      </c>
      <c r="BL128" s="25182">
        <f>IF(HLOOKUP("Mins",A1:CV300,128,FALSE)=0,0,HLOOKUP("BC Miss",A1:CV300,128,FALSE)/HLOOKUP("Mins",A1:CV300,128,FALSE)* 90)</f>
      </c>
      <c r="BM128" s="25183">
        <f>IF(HLOOKUP("Mins",A1:CV300,128,FALSE)=0,0,HLOOKUP("Gs - BC",A1:CV300,128,FALSE)/HLOOKUP("Mins",A1:CV300,128,FALSE)* 90)</f>
      </c>
      <c r="BN128" s="25184">
        <f>IF(HLOOKUP("Mins",A1:CV300,128,FALSE)=0,0,HLOOKUP("GIB",A1:CV300,128,FALSE)/HLOOKUP("Mins",A1:CV300,128,FALSE)* 90)</f>
      </c>
      <c r="BO128" s="25185">
        <f>IF(HLOOKUP("Mins",A1:CV300,128,FALSE)=0,0,HLOOKUP("Gs - Open",A1:CV300,128,FALSE)/HLOOKUP("Mins",A1:CV300,128,FALSE)* 90)</f>
      </c>
      <c r="BP128" s="25186">
        <f>IF(HLOOKUP("Mins",A1:CV300,128,FALSE)=0,0,HLOOKUP("ICT Index",A1:CV300,128,FALSE)/HLOOKUP("Mins",A1:CV300,128,FALSE)* 90)</f>
      </c>
      <c r="BQ128" s="25187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5188">
        <f>0.0885*HLOOKUP("KP/90",A1:CV300,128,FALSE)</f>
      </c>
      <c r="BS128" s="25189">
        <f>5*HLOOKUP("xG/90",A1:CV300,128,FALSE)+3*HLOOKUP("xA/90",A1:CV300,128,FALSE)</f>
      </c>
      <c r="BT128" s="25190">
        <f>HLOOKUP("xPts/90",A1:CV300,128,FALSE)-(5*0.75*(HLOOKUP("PK Gs",A1:CV300,128,FALSE)+HLOOKUP("PK Miss",A1:CV300,128,FALSE))*90/HLOOKUP("Mins",A1:CV300,128,FALSE))</f>
      </c>
      <c r="BU128" s="25191">
        <f>IF(HLOOKUP("Mins",A1:CV300,128,FALSE)=0,0,HLOOKUP("fsXG",A1:CV300,128,FALSE)/HLOOKUP("Mins",A1:CV300,128,FALSE)* 90)</f>
      </c>
      <c r="BV128" s="25192">
        <f>IF(HLOOKUP("Mins",A1:CV300,128,FALSE)=0,0,HLOOKUP("fsXA",A1:CV300,128,FALSE)/HLOOKUP("Mins",A1:CV300,128,FALSE)* 90)</f>
      </c>
      <c r="BW128" s="25193">
        <f>5*HLOOKUP("fsXG/90",A1:CV300,128,FALSE)+3*HLOOKUP("fsXA/90",A1:CV300,128,FALSE)</f>
      </c>
      <c r="BX128" t="n" s="25194">
        <v>0.0</v>
      </c>
      <c r="BY128" t="n" s="25195">
        <v>0.0</v>
      </c>
      <c r="BZ128" s="25196">
        <f>5*HLOOKUP("uXG/90",A1:CV300,128,FALSE)+3*HLOOKUP("uXA/90",A1:CV300,128,FALSE)</f>
      </c>
    </row>
    <row r="129">
      <c r="A129" t="s" s="25197">
        <v>420</v>
      </c>
      <c r="B129" t="s" s="25198">
        <v>147</v>
      </c>
      <c r="C129" t="n" s="25199">
        <v>7.0</v>
      </c>
      <c r="D129" t="n" s="25200">
        <v>154.0</v>
      </c>
      <c r="E129" t="n" s="25201">
        <v>3.0</v>
      </c>
      <c r="F129" t="n" s="25202">
        <v>70.0</v>
      </c>
      <c r="G129" t="n" s="25203">
        <v>0.0</v>
      </c>
      <c r="H129" t="n" s="25204">
        <v>5.0</v>
      </c>
      <c r="I129" t="n" s="25205">
        <v>217.0</v>
      </c>
      <c r="J129" s="25206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5207">
        <v>0.0</v>
      </c>
      <c r="L129" t="n" s="25208">
        <v>3.0</v>
      </c>
      <c r="M129" t="n" s="25209">
        <v>12.0</v>
      </c>
      <c r="N129" t="n" s="25210">
        <v>9.0</v>
      </c>
      <c r="O129" t="n" s="25211">
        <v>8.0</v>
      </c>
      <c r="P129" s="25212">
        <f>IF(HLOOKUP("Shots",A1:CV300,129,FALSE)=0,0,HLOOKUP("SIB",A1:CV300,129,FALSE)/HLOOKUP("Shots",A1:CV300,129,FALSE))</f>
      </c>
      <c r="Q129" t="n" s="25213">
        <v>1.0</v>
      </c>
      <c r="R129" s="25214">
        <f>IF(HLOOKUP("Shots",A1:CV300,129,FALSE)=0,0,HLOOKUP("S6YD",A1:CV300,129,FALSE)/HLOOKUP("Shots",A1:CV300,129,FALSE))</f>
      </c>
      <c r="S129" t="n" s="25215">
        <v>2.0</v>
      </c>
      <c r="T129" s="25216">
        <f>IF(HLOOKUP("Shots",A1:CV300,129,FALSE)=0,0,HLOOKUP("Headers",A1:CV300,129,FALSE)/HLOOKUP("Shots",A1:CV300,129,FALSE))</f>
      </c>
      <c r="U129" t="n" s="25217">
        <v>3.0</v>
      </c>
      <c r="V129" s="25218">
        <f>IF(HLOOKUP("Shots",A1:CV300,129,FALSE)=0,0,HLOOKUP("SOT",A1:CV300,129,FALSE)/HLOOKUP("Shots",A1:CV300,129,FALSE))</f>
      </c>
      <c r="W129" s="25219">
        <f>IF(HLOOKUP("Shots",A1:CV300,129,FALSE)=0,0,HLOOKUP("Gs",A1:CV300,129,FALSE)/HLOOKUP("Shots",A1:CV300,129,FALSE))</f>
      </c>
      <c r="X129" t="n" s="25220">
        <v>0.0</v>
      </c>
      <c r="Y129" t="n" s="25221">
        <v>3.0</v>
      </c>
      <c r="Z129" t="n" s="25222">
        <v>1.0</v>
      </c>
      <c r="AA129" s="25223">
        <f>IF(HLOOKUP("KP",A1:CV300,129,FALSE)=0,0,HLOOKUP("As",A1:CV300,129,FALSE)/HLOOKUP("KP",A1:CV300,129,FALSE))</f>
      </c>
      <c r="AB129" s="25224"/>
      <c r="AC129" t="n" s="25225">
        <v>0.0</v>
      </c>
      <c r="AD129" t="n" s="25226">
        <v>0.0</v>
      </c>
      <c r="AE129" t="n" s="25227">
        <v>1.0</v>
      </c>
      <c r="AF129" t="n" s="25228">
        <v>1.0</v>
      </c>
      <c r="AG129" s="25229">
        <f>IF(HLOOKUP("BC",A1:CV300,129,FALSE)=0,0,HLOOKUP("Gs - BC",A1:CV300,129,FALSE)/HLOOKUP("BC",A1:CV300,129,FALSE))</f>
      </c>
      <c r="AH129" s="25230">
        <f>HLOOKUP("BC",A1:CV300,129,FALSE) - HLOOKUP("BC Miss",A1:CV300,129,FALSE)</f>
      </c>
      <c r="AI129" s="25231">
        <f>IF(HLOOKUP("Gs",A1:CV300,129,FALSE)=0,0,HLOOKUP("Gs - BC",A1:CV300,129,FALSE)/HLOOKUP("Gs",A1:CV300,129,FALSE))</f>
      </c>
      <c r="AJ129" t="n" s="25232">
        <v>0.0</v>
      </c>
      <c r="AK129" t="n" s="25233">
        <v>0.0</v>
      </c>
      <c r="AL129" s="25234">
        <f>HLOOKUP("BC",A1:CV300,129,FALSE) - (HLOOKUP("PK Gs",A1:CV300,129,FALSE) + HLOOKUP("PK Miss",A1:CV300,129,FALSE))</f>
      </c>
      <c r="AM129" s="25235">
        <f>HLOOKUP("BC Miss",A1:CV300,129,FALSE) - HLOOKUP("PK Miss",A1:CV300,129,FALSE)</f>
      </c>
      <c r="AN129" s="25236">
        <f>IF(HLOOKUP("BC - Open",A1:CV300,129,FALSE)=0,0,HLOOKUP("BC - Open Miss",A1:CV300,129,FALSE)/HLOOKUP("BC - Open",A1:CV300,129,FALSE))</f>
      </c>
      <c r="AO129" t="n" s="25237">
        <v>0.0</v>
      </c>
      <c r="AP129" s="25238">
        <f>IF(HLOOKUP("Gs",A1:CV300,129,FALSE)=0,0,HLOOKUP("GIB",A1:CV300,129,FALSE)/HLOOKUP("Gs",A1:CV300,129,FALSE))</f>
      </c>
      <c r="AQ129" t="n" s="25239">
        <v>0.0</v>
      </c>
      <c r="AR129" s="25240">
        <f>IF(HLOOKUP("Gs",A1:CV300,129,FALSE)=0,0,HLOOKUP("Gs - Open",A1:CV300,129,FALSE)/HLOOKUP("Gs",A1:CV300,129,FALSE))</f>
      </c>
      <c r="AS129" t="n" s="25241">
        <v>0.6</v>
      </c>
      <c r="AT129" t="n" s="25242">
        <v>0.04</v>
      </c>
      <c r="AU129" s="25243">
        <f>IF(HLOOKUP("Mins",A1:CV300,129,FALSE)=0,0,HLOOKUP("Pts",A1:CV300,129,FALSE)/HLOOKUP("Mins",A1:CV300,129,FALSE)* 90)</f>
      </c>
      <c r="AV129" s="25244">
        <f>IF(HLOOKUP("Apps",A1:CV300,129,FALSE)=0,0,HLOOKUP("Pts",A1:CV300,129,FALSE)/HLOOKUP("Apps",A1:CV300,129,FALSE)* 1)</f>
      </c>
      <c r="AW129" s="25245">
        <f>IF(HLOOKUP("Mins",A1:CV300,129,FALSE)=0,0,HLOOKUP("Gs",A1:CV300,129,FALSE)/HLOOKUP("Mins",A1:CV300,129,FALSE)* 90)</f>
      </c>
      <c r="AX129" s="25246">
        <f>IF(HLOOKUP("Mins",A1:CV300,129,FALSE)=0,0,HLOOKUP("Bonus",A1:CV300,129,FALSE)/HLOOKUP("Mins",A1:CV300,129,FALSE)* 90)</f>
      </c>
      <c r="AY129" s="25247">
        <f>IF(HLOOKUP("Mins",A1:CV300,129,FALSE)=0,0,HLOOKUP("BPS",A1:CV300,129,FALSE)/HLOOKUP("Mins",A1:CV300,129,FALSE)* 90)</f>
      </c>
      <c r="AZ129" s="25248">
        <f>IF(HLOOKUP("Mins",A1:CV300,129,FALSE)=0,0,HLOOKUP("Base BPS",A1:CV300,129,FALSE)/HLOOKUP("Mins",A1:CV300,129,FALSE)* 90)</f>
      </c>
      <c r="BA129" s="25249">
        <f>IF(HLOOKUP("Mins",A1:CV300,129,FALSE)=0,0,HLOOKUP("PenTchs",A1:CV300,129,FALSE)/HLOOKUP("Mins",A1:CV300,129,FALSE)* 90)</f>
      </c>
      <c r="BB129" s="25250">
        <f>IF(HLOOKUP("Mins",A1:CV300,129,FALSE)=0,0,HLOOKUP("Shots",A1:CV300,129,FALSE)/HLOOKUP("Mins",A1:CV300,129,FALSE)* 90)</f>
      </c>
      <c r="BC129" s="25251">
        <f>IF(HLOOKUP("Mins",A1:CV300,129,FALSE)=0,0,HLOOKUP("SIB",A1:CV300,129,FALSE)/HLOOKUP("Mins",A1:CV300,129,FALSE)* 90)</f>
      </c>
      <c r="BD129" s="25252">
        <f>IF(HLOOKUP("Mins",A1:CV300,129,FALSE)=0,0,HLOOKUP("S6YD",A1:CV300,129,FALSE)/HLOOKUP("Mins",A1:CV300,129,FALSE)* 90)</f>
      </c>
      <c r="BE129" s="25253">
        <f>IF(HLOOKUP("Mins",A1:CV300,129,FALSE)=0,0,HLOOKUP("Headers",A1:CV300,129,FALSE)/HLOOKUP("Mins",A1:CV300,129,FALSE)* 90)</f>
      </c>
      <c r="BF129" s="25254">
        <f>IF(HLOOKUP("Mins",A1:CV300,129,FALSE)=0,0,HLOOKUP("SOT",A1:CV300,129,FALSE)/HLOOKUP("Mins",A1:CV300,129,FALSE)* 90)</f>
      </c>
      <c r="BG129" s="25255">
        <f>IF(HLOOKUP("Mins",A1:CV300,129,FALSE)=0,0,HLOOKUP("As",A1:CV300,129,FALSE)/HLOOKUP("Mins",A1:CV300,129,FALSE)* 90)</f>
      </c>
      <c r="BH129" s="25256">
        <f>IF(HLOOKUP("Mins",A1:CV300,129,FALSE)=0,0,HLOOKUP("FPL As",A1:CV300,129,FALSE)/HLOOKUP("Mins",A1:CV300,129,FALSE)* 90)</f>
      </c>
      <c r="BI129" s="25257">
        <f>IF(HLOOKUP("Mins",A1:CV300,129,FALSE)=0,0,HLOOKUP("BC Created",A1:CV300,129,FALSE)/HLOOKUP("Mins",A1:CV300,129,FALSE)* 90)</f>
      </c>
      <c r="BJ129" s="25258">
        <f>IF(HLOOKUP("Mins",A1:CV300,129,FALSE)=0,0,HLOOKUP("KP",A1:CV300,129,FALSE)/HLOOKUP("Mins",A1:CV300,129,FALSE)* 90)</f>
      </c>
      <c r="BK129" s="25259">
        <f>IF(HLOOKUP("Mins",A1:CV300,129,FALSE)=0,0,HLOOKUP("BC",A1:CV300,129,FALSE)/HLOOKUP("Mins",A1:CV300,129,FALSE)* 90)</f>
      </c>
      <c r="BL129" s="25260">
        <f>IF(HLOOKUP("Mins",A1:CV300,129,FALSE)=0,0,HLOOKUP("BC Miss",A1:CV300,129,FALSE)/HLOOKUP("Mins",A1:CV300,129,FALSE)* 90)</f>
      </c>
      <c r="BM129" s="25261">
        <f>IF(HLOOKUP("Mins",A1:CV300,129,FALSE)=0,0,HLOOKUP("Gs - BC",A1:CV300,129,FALSE)/HLOOKUP("Mins",A1:CV300,129,FALSE)* 90)</f>
      </c>
      <c r="BN129" s="25262">
        <f>IF(HLOOKUP("Mins",A1:CV300,129,FALSE)=0,0,HLOOKUP("GIB",A1:CV300,129,FALSE)/HLOOKUP("Mins",A1:CV300,129,FALSE)* 90)</f>
      </c>
      <c r="BO129" s="25263">
        <f>IF(HLOOKUP("Mins",A1:CV300,129,FALSE)=0,0,HLOOKUP("Gs - Open",A1:CV300,129,FALSE)/HLOOKUP("Mins",A1:CV300,129,FALSE)* 90)</f>
      </c>
      <c r="BP129" s="25264">
        <f>IF(HLOOKUP("Mins",A1:CV300,129,FALSE)=0,0,HLOOKUP("ICT Index",A1:CV300,129,FALSE)/HLOOKUP("Mins",A1:CV300,129,FALSE)* 90)</f>
      </c>
      <c r="BQ129" s="25265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5266">
        <f>0.0885*HLOOKUP("KP/90",A1:CV300,129,FALSE)</f>
      </c>
      <c r="BS129" s="25267">
        <f>5*HLOOKUP("xG/90",A1:CV300,129,FALSE)+3*HLOOKUP("xA/90",A1:CV300,129,FALSE)</f>
      </c>
      <c r="BT129" s="25268">
        <f>HLOOKUP("xPts/90",A1:CV300,129,FALSE)-(5*0.75*(HLOOKUP("PK Gs",A1:CV300,129,FALSE)+HLOOKUP("PK Miss",A1:CV300,129,FALSE))*90/HLOOKUP("Mins",A1:CV300,129,FALSE))</f>
      </c>
      <c r="BU129" s="25269">
        <f>IF(HLOOKUP("Mins",A1:CV300,129,FALSE)=0,0,HLOOKUP("fsXG",A1:CV300,129,FALSE)/HLOOKUP("Mins",A1:CV300,129,FALSE)* 90)</f>
      </c>
      <c r="BV129" s="25270">
        <f>IF(HLOOKUP("Mins",A1:CV300,129,FALSE)=0,0,HLOOKUP("fsXA",A1:CV300,129,FALSE)/HLOOKUP("Mins",A1:CV300,129,FALSE)* 90)</f>
      </c>
      <c r="BW129" s="25271">
        <f>5*HLOOKUP("fsXG/90",A1:CV300,129,FALSE)+3*HLOOKUP("fsXA/90",A1:CV300,129,FALSE)</f>
      </c>
      <c r="BX129" t="n" s="25272">
        <v>0.5035881996154785</v>
      </c>
      <c r="BY129" t="n" s="25273">
        <v>0.01676202192902565</v>
      </c>
      <c r="BZ129" s="25274">
        <f>5*HLOOKUP("uXG/90",A1:CV300,129,FALSE)+3*HLOOKUP("uXA/90",A1:CV300,129,FALSE)</f>
      </c>
    </row>
    <row r="130">
      <c r="A130" t="s" s="25275">
        <v>421</v>
      </c>
      <c r="B130" t="s" s="25276">
        <v>80</v>
      </c>
      <c r="C130" t="n" s="25277">
        <v>5.300000190734863</v>
      </c>
      <c r="D130" t="n" s="25278">
        <v>287.0</v>
      </c>
      <c r="E130" t="n" s="25279">
        <v>5.0</v>
      </c>
      <c r="F130" t="n" s="25280">
        <v>18.0</v>
      </c>
      <c r="G130" t="n" s="25281">
        <v>0.0</v>
      </c>
      <c r="H130" t="n" s="25282">
        <v>0.0</v>
      </c>
      <c r="I130" t="n" s="25283">
        <v>56.0</v>
      </c>
      <c r="J130" s="25284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5285">
        <v>0.0</v>
      </c>
      <c r="L130" t="n" s="25286">
        <v>2.0</v>
      </c>
      <c r="M130" t="n" s="25287">
        <v>10.0</v>
      </c>
      <c r="N130" t="n" s="25288">
        <v>4.0</v>
      </c>
      <c r="O130" t="n" s="25289">
        <v>3.0</v>
      </c>
      <c r="P130" s="25290">
        <f>IF(HLOOKUP("Shots",A1:CV300,130,FALSE)=0,0,HLOOKUP("SIB",A1:CV300,130,FALSE)/HLOOKUP("Shots",A1:CV300,130,FALSE))</f>
      </c>
      <c r="Q130" t="n" s="25291">
        <v>0.0</v>
      </c>
      <c r="R130" s="25292">
        <f>IF(HLOOKUP("Shots",A1:CV300,130,FALSE)=0,0,HLOOKUP("S6YD",A1:CV300,130,FALSE)/HLOOKUP("Shots",A1:CV300,130,FALSE))</f>
      </c>
      <c r="S130" t="n" s="25293">
        <v>0.0</v>
      </c>
      <c r="T130" s="25294">
        <f>IF(HLOOKUP("Shots",A1:CV300,130,FALSE)=0,0,HLOOKUP("Headers",A1:CV300,130,FALSE)/HLOOKUP("Shots",A1:CV300,130,FALSE))</f>
      </c>
      <c r="U130" t="n" s="25295">
        <v>0.0</v>
      </c>
      <c r="V130" s="25296">
        <f>IF(HLOOKUP("Shots",A1:CV300,130,FALSE)=0,0,HLOOKUP("SOT",A1:CV300,130,FALSE)/HLOOKUP("Shots",A1:CV300,130,FALSE))</f>
      </c>
      <c r="W130" s="25297">
        <f>IF(HLOOKUP("Shots",A1:CV300,130,FALSE)=0,0,HLOOKUP("Gs",A1:CV300,130,FALSE)/HLOOKUP("Shots",A1:CV300,130,FALSE))</f>
      </c>
      <c r="X130" t="n" s="25298">
        <v>0.0</v>
      </c>
      <c r="Y130" t="n" s="25299">
        <v>1.0</v>
      </c>
      <c r="Z130" t="n" s="25300">
        <v>2.0</v>
      </c>
      <c r="AA130" s="25301">
        <f>IF(HLOOKUP("KP",A1:CV300,130,FALSE)=0,0,HLOOKUP("As",A1:CV300,130,FALSE)/HLOOKUP("KP",A1:CV300,130,FALSE))</f>
      </c>
      <c r="AB130" s="25302"/>
      <c r="AC130" t="n" s="25303">
        <v>50.0</v>
      </c>
      <c r="AD130" t="n" s="25304">
        <v>0.0</v>
      </c>
      <c r="AE130" t="n" s="25305">
        <v>0.0</v>
      </c>
      <c r="AF130" t="n" s="25306">
        <v>0.0</v>
      </c>
      <c r="AG130" s="25307">
        <f>IF(HLOOKUP("BC",A1:CV300,130,FALSE)=0,0,HLOOKUP("Gs - BC",A1:CV300,130,FALSE)/HLOOKUP("BC",A1:CV300,130,FALSE))</f>
      </c>
      <c r="AH130" s="25308">
        <f>HLOOKUP("BC",A1:CV300,130,FALSE) - HLOOKUP("BC Miss",A1:CV300,130,FALSE)</f>
      </c>
      <c r="AI130" s="25309">
        <f>IF(HLOOKUP("Gs",A1:CV300,130,FALSE)=0,0,HLOOKUP("Gs - BC",A1:CV300,130,FALSE)/HLOOKUP("Gs",A1:CV300,130,FALSE))</f>
      </c>
      <c r="AJ130" t="n" s="25310">
        <v>0.0</v>
      </c>
      <c r="AK130" t="n" s="25311">
        <v>0.0</v>
      </c>
      <c r="AL130" s="25312">
        <f>HLOOKUP("BC",A1:CV300,130,FALSE) - (HLOOKUP("PK Gs",A1:CV300,130,FALSE) + HLOOKUP("PK Miss",A1:CV300,130,FALSE))</f>
      </c>
      <c r="AM130" s="25313">
        <f>HLOOKUP("BC Miss",A1:CV300,130,FALSE) - HLOOKUP("PK Miss",A1:CV300,130,FALSE)</f>
      </c>
      <c r="AN130" s="25314">
        <f>IF(HLOOKUP("BC - Open",A1:CV300,130,FALSE)=0,0,HLOOKUP("BC - Open Miss",A1:CV300,130,FALSE)/HLOOKUP("BC - Open",A1:CV300,130,FALSE))</f>
      </c>
      <c r="AO130" t="n" s="25315">
        <v>0.0</v>
      </c>
      <c r="AP130" s="25316">
        <f>IF(HLOOKUP("Gs",A1:CV300,130,FALSE)=0,0,HLOOKUP("GIB",A1:CV300,130,FALSE)/HLOOKUP("Gs",A1:CV300,130,FALSE))</f>
      </c>
      <c r="AQ130" t="n" s="25317">
        <v>0.0</v>
      </c>
      <c r="AR130" s="25318">
        <f>IF(HLOOKUP("Gs",A1:CV300,130,FALSE)=0,0,HLOOKUP("Gs - Open",A1:CV300,130,FALSE)/HLOOKUP("Gs",A1:CV300,130,FALSE))</f>
      </c>
      <c r="AS130" t="n" s="25319">
        <v>0.24</v>
      </c>
      <c r="AT130" t="n" s="25320">
        <v>0.3</v>
      </c>
      <c r="AU130" s="25321">
        <f>IF(HLOOKUP("Mins",A1:CV300,130,FALSE)=0,0,HLOOKUP("Pts",A1:CV300,130,FALSE)/HLOOKUP("Mins",A1:CV300,130,FALSE)* 90)</f>
      </c>
      <c r="AV130" s="25322">
        <f>IF(HLOOKUP("Apps",A1:CV300,130,FALSE)=0,0,HLOOKUP("Pts",A1:CV300,130,FALSE)/HLOOKUP("Apps",A1:CV300,130,FALSE)* 1)</f>
      </c>
      <c r="AW130" s="25323">
        <f>IF(HLOOKUP("Mins",A1:CV300,130,FALSE)=0,0,HLOOKUP("Gs",A1:CV300,130,FALSE)/HLOOKUP("Mins",A1:CV300,130,FALSE)* 90)</f>
      </c>
      <c r="AX130" s="25324">
        <f>IF(HLOOKUP("Mins",A1:CV300,130,FALSE)=0,0,HLOOKUP("Bonus",A1:CV300,130,FALSE)/HLOOKUP("Mins",A1:CV300,130,FALSE)* 90)</f>
      </c>
      <c r="AY130" s="25325">
        <f>IF(HLOOKUP("Mins",A1:CV300,130,FALSE)=0,0,HLOOKUP("BPS",A1:CV300,130,FALSE)/HLOOKUP("Mins",A1:CV300,130,FALSE)* 90)</f>
      </c>
      <c r="AZ130" s="25326">
        <f>IF(HLOOKUP("Mins",A1:CV300,130,FALSE)=0,0,HLOOKUP("Base BPS",A1:CV300,130,FALSE)/HLOOKUP("Mins",A1:CV300,130,FALSE)* 90)</f>
      </c>
      <c r="BA130" s="25327">
        <f>IF(HLOOKUP("Mins",A1:CV300,130,FALSE)=0,0,HLOOKUP("PenTchs",A1:CV300,130,FALSE)/HLOOKUP("Mins",A1:CV300,130,FALSE)* 90)</f>
      </c>
      <c r="BB130" s="25328">
        <f>IF(HLOOKUP("Mins",A1:CV300,130,FALSE)=0,0,HLOOKUP("Shots",A1:CV300,130,FALSE)/HLOOKUP("Mins",A1:CV300,130,FALSE)* 90)</f>
      </c>
      <c r="BC130" s="25329">
        <f>IF(HLOOKUP("Mins",A1:CV300,130,FALSE)=0,0,HLOOKUP("SIB",A1:CV300,130,FALSE)/HLOOKUP("Mins",A1:CV300,130,FALSE)* 90)</f>
      </c>
      <c r="BD130" s="25330">
        <f>IF(HLOOKUP("Mins",A1:CV300,130,FALSE)=0,0,HLOOKUP("S6YD",A1:CV300,130,FALSE)/HLOOKUP("Mins",A1:CV300,130,FALSE)* 90)</f>
      </c>
      <c r="BE130" s="25331">
        <f>IF(HLOOKUP("Mins",A1:CV300,130,FALSE)=0,0,HLOOKUP("Headers",A1:CV300,130,FALSE)/HLOOKUP("Mins",A1:CV300,130,FALSE)* 90)</f>
      </c>
      <c r="BF130" s="25332">
        <f>IF(HLOOKUP("Mins",A1:CV300,130,FALSE)=0,0,HLOOKUP("SOT",A1:CV300,130,FALSE)/HLOOKUP("Mins",A1:CV300,130,FALSE)* 90)</f>
      </c>
      <c r="BG130" s="25333">
        <f>IF(HLOOKUP("Mins",A1:CV300,130,FALSE)=0,0,HLOOKUP("As",A1:CV300,130,FALSE)/HLOOKUP("Mins",A1:CV300,130,FALSE)* 90)</f>
      </c>
      <c r="BH130" s="25334">
        <f>IF(HLOOKUP("Mins",A1:CV300,130,FALSE)=0,0,HLOOKUP("FPL As",A1:CV300,130,FALSE)/HLOOKUP("Mins",A1:CV300,130,FALSE)* 90)</f>
      </c>
      <c r="BI130" s="25335">
        <f>IF(HLOOKUP("Mins",A1:CV300,130,FALSE)=0,0,HLOOKUP("BC Created",A1:CV300,130,FALSE)/HLOOKUP("Mins",A1:CV300,130,FALSE)* 90)</f>
      </c>
      <c r="BJ130" s="25336">
        <f>IF(HLOOKUP("Mins",A1:CV300,130,FALSE)=0,0,HLOOKUP("KP",A1:CV300,130,FALSE)/HLOOKUP("Mins",A1:CV300,130,FALSE)* 90)</f>
      </c>
      <c r="BK130" s="25337">
        <f>IF(HLOOKUP("Mins",A1:CV300,130,FALSE)=0,0,HLOOKUP("BC",A1:CV300,130,FALSE)/HLOOKUP("Mins",A1:CV300,130,FALSE)* 90)</f>
      </c>
      <c r="BL130" s="25338">
        <f>IF(HLOOKUP("Mins",A1:CV300,130,FALSE)=0,0,HLOOKUP("BC Miss",A1:CV300,130,FALSE)/HLOOKUP("Mins",A1:CV300,130,FALSE)* 90)</f>
      </c>
      <c r="BM130" s="25339">
        <f>IF(HLOOKUP("Mins",A1:CV300,130,FALSE)=0,0,HLOOKUP("Gs - BC",A1:CV300,130,FALSE)/HLOOKUP("Mins",A1:CV300,130,FALSE)* 90)</f>
      </c>
      <c r="BN130" s="25340">
        <f>IF(HLOOKUP("Mins",A1:CV300,130,FALSE)=0,0,HLOOKUP("GIB",A1:CV300,130,FALSE)/HLOOKUP("Mins",A1:CV300,130,FALSE)* 90)</f>
      </c>
      <c r="BO130" s="25341">
        <f>IF(HLOOKUP("Mins",A1:CV300,130,FALSE)=0,0,HLOOKUP("Gs - Open",A1:CV300,130,FALSE)/HLOOKUP("Mins",A1:CV300,130,FALSE)* 90)</f>
      </c>
      <c r="BP130" s="25342">
        <f>IF(HLOOKUP("Mins",A1:CV300,130,FALSE)=0,0,HLOOKUP("ICT Index",A1:CV300,130,FALSE)/HLOOKUP("Mins",A1:CV300,130,FALSE)* 90)</f>
      </c>
      <c r="BQ130" s="25343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5344">
        <f>0.0885*HLOOKUP("KP/90",A1:CV300,130,FALSE)</f>
      </c>
      <c r="BS130" s="25345">
        <f>5*HLOOKUP("xG/90",A1:CV300,130,FALSE)+3*HLOOKUP("xA/90",A1:CV300,130,FALSE)</f>
      </c>
      <c r="BT130" s="25346">
        <f>HLOOKUP("xPts/90",A1:CV300,130,FALSE)-(5*0.75*(HLOOKUP("PK Gs",A1:CV300,130,FALSE)+HLOOKUP("PK Miss",A1:CV300,130,FALSE))*90/HLOOKUP("Mins",A1:CV300,130,FALSE))</f>
      </c>
      <c r="BU130" s="25347">
        <f>IF(HLOOKUP("Mins",A1:CV300,130,FALSE)=0,0,HLOOKUP("fsXG",A1:CV300,130,FALSE)/HLOOKUP("Mins",A1:CV300,130,FALSE)* 90)</f>
      </c>
      <c r="BV130" s="25348">
        <f>IF(HLOOKUP("Mins",A1:CV300,130,FALSE)=0,0,HLOOKUP("fsXA",A1:CV300,130,FALSE)/HLOOKUP("Mins",A1:CV300,130,FALSE)* 90)</f>
      </c>
      <c r="BW130" s="25349">
        <f>5*HLOOKUP("fsXG/90",A1:CV300,130,FALSE)+3*HLOOKUP("fsXA/90",A1:CV300,130,FALSE)</f>
      </c>
      <c r="BX130" t="n" s="25350">
        <v>0.10379837453365326</v>
      </c>
      <c r="BY130" t="n" s="25351">
        <v>0.03771010413765907</v>
      </c>
      <c r="BZ130" s="25352">
        <f>5*HLOOKUP("uXG/90",A1:CV300,130,FALSE)+3*HLOOKUP("uXA/90",A1:CV300,130,FALSE)</f>
      </c>
    </row>
    <row r="131">
      <c r="A131" t="s" s="25353">
        <v>422</v>
      </c>
      <c r="B131" t="s" s="25354">
        <v>87</v>
      </c>
      <c r="C131" t="n" s="25355">
        <v>5.5</v>
      </c>
      <c r="D131" t="n" s="25356">
        <v>98.0</v>
      </c>
      <c r="E131" t="n" s="25357">
        <v>2.0</v>
      </c>
      <c r="F131" t="n" s="25358">
        <v>61.0</v>
      </c>
      <c r="G131" t="n" s="25359">
        <v>0.0</v>
      </c>
      <c r="H131" t="n" s="25360">
        <v>4.0</v>
      </c>
      <c r="I131" t="n" s="25361">
        <v>253.0</v>
      </c>
      <c r="J131" s="25362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5363">
        <v>0.0</v>
      </c>
      <c r="L131" t="n" s="25364">
        <v>3.0</v>
      </c>
      <c r="M131" t="n" s="25365">
        <v>0.0</v>
      </c>
      <c r="N131" t="n" s="25366">
        <v>0.0</v>
      </c>
      <c r="O131" t="n" s="25367">
        <v>0.0</v>
      </c>
      <c r="P131" s="25368">
        <f>IF(HLOOKUP("Shots",A1:CV300,131,FALSE)=0,0,HLOOKUP("SIB",A1:CV300,131,FALSE)/HLOOKUP("Shots",A1:CV300,131,FALSE))</f>
      </c>
      <c r="Q131" t="n" s="25369">
        <v>0.0</v>
      </c>
      <c r="R131" s="25370">
        <f>IF(HLOOKUP("Shots",A1:CV300,131,FALSE)=0,0,HLOOKUP("S6YD",A1:CV300,131,FALSE)/HLOOKUP("Shots",A1:CV300,131,FALSE))</f>
      </c>
      <c r="S131" t="n" s="25371">
        <v>0.0</v>
      </c>
      <c r="T131" s="25372">
        <f>IF(HLOOKUP("Shots",A1:CV300,131,FALSE)=0,0,HLOOKUP("Headers",A1:CV300,131,FALSE)/HLOOKUP("Shots",A1:CV300,131,FALSE))</f>
      </c>
      <c r="U131" t="n" s="25373">
        <v>0.0</v>
      </c>
      <c r="V131" s="25374">
        <f>IF(HLOOKUP("Shots",A1:CV300,131,FALSE)=0,0,HLOOKUP("SOT",A1:CV300,131,FALSE)/HLOOKUP("Shots",A1:CV300,131,FALSE))</f>
      </c>
      <c r="W131" s="25375">
        <f>IF(HLOOKUP("Shots",A1:CV300,131,FALSE)=0,0,HLOOKUP("Gs",A1:CV300,131,FALSE)/HLOOKUP("Shots",A1:CV300,131,FALSE))</f>
      </c>
      <c r="X131" t="n" s="25376">
        <v>0.0</v>
      </c>
      <c r="Y131" t="n" s="25377">
        <v>2.0</v>
      </c>
      <c r="Z131" t="n" s="25378">
        <v>3.0</v>
      </c>
      <c r="AA131" s="25379">
        <f>IF(HLOOKUP("KP",A1:CV300,131,FALSE)=0,0,HLOOKUP("As",A1:CV300,131,FALSE)/HLOOKUP("KP",A1:CV300,131,FALSE))</f>
      </c>
      <c r="AB131" s="25380"/>
      <c r="AC131" t="n" s="25381">
        <v>0.0</v>
      </c>
      <c r="AD131" t="n" s="25382">
        <v>0.0</v>
      </c>
      <c r="AE131" t="n" s="25383">
        <v>0.0</v>
      </c>
      <c r="AF131" t="n" s="25384">
        <v>0.0</v>
      </c>
      <c r="AG131" s="25385">
        <f>IF(HLOOKUP("BC",A1:CV300,131,FALSE)=0,0,HLOOKUP("Gs - BC",A1:CV300,131,FALSE)/HLOOKUP("BC",A1:CV300,131,FALSE))</f>
      </c>
      <c r="AH131" s="25386">
        <f>HLOOKUP("BC",A1:CV300,131,FALSE) - HLOOKUP("BC Miss",A1:CV300,131,FALSE)</f>
      </c>
      <c r="AI131" s="25387">
        <f>IF(HLOOKUP("Gs",A1:CV300,131,FALSE)=0,0,HLOOKUP("Gs - BC",A1:CV300,131,FALSE)/HLOOKUP("Gs",A1:CV300,131,FALSE))</f>
      </c>
      <c r="AJ131" t="n" s="25388">
        <v>0.0</v>
      </c>
      <c r="AK131" t="n" s="25389">
        <v>0.0</v>
      </c>
      <c r="AL131" s="25390">
        <f>HLOOKUP("BC",A1:CV300,131,FALSE) - (HLOOKUP("PK Gs",A1:CV300,131,FALSE) + HLOOKUP("PK Miss",A1:CV300,131,FALSE))</f>
      </c>
      <c r="AM131" s="25391">
        <f>HLOOKUP("BC Miss",A1:CV300,131,FALSE) - HLOOKUP("PK Miss",A1:CV300,131,FALSE)</f>
      </c>
      <c r="AN131" s="25392">
        <f>IF(HLOOKUP("BC - Open",A1:CV300,131,FALSE)=0,0,HLOOKUP("BC - Open Miss",A1:CV300,131,FALSE)/HLOOKUP("BC - Open",A1:CV300,131,FALSE))</f>
      </c>
      <c r="AO131" t="n" s="25393">
        <v>0.0</v>
      </c>
      <c r="AP131" s="25394">
        <f>IF(HLOOKUP("Gs",A1:CV300,131,FALSE)=0,0,HLOOKUP("GIB",A1:CV300,131,FALSE)/HLOOKUP("Gs",A1:CV300,131,FALSE))</f>
      </c>
      <c r="AQ131" t="n" s="25395">
        <v>0.0</v>
      </c>
      <c r="AR131" s="25396">
        <f>IF(HLOOKUP("Gs",A1:CV300,131,FALSE)=0,0,HLOOKUP("Gs - Open",A1:CV300,131,FALSE)/HLOOKUP("Gs",A1:CV300,131,FALSE))</f>
      </c>
      <c r="AS131" t="n" s="25397">
        <v>0.0</v>
      </c>
      <c r="AT131" t="n" s="25398">
        <v>0.05</v>
      </c>
      <c r="AU131" s="25399">
        <f>IF(HLOOKUP("Mins",A1:CV300,131,FALSE)=0,0,HLOOKUP("Pts",A1:CV300,131,FALSE)/HLOOKUP("Mins",A1:CV300,131,FALSE)* 90)</f>
      </c>
      <c r="AV131" s="25400">
        <f>IF(HLOOKUP("Apps",A1:CV300,131,FALSE)=0,0,HLOOKUP("Pts",A1:CV300,131,FALSE)/HLOOKUP("Apps",A1:CV300,131,FALSE)* 1)</f>
      </c>
      <c r="AW131" s="25401">
        <f>IF(HLOOKUP("Mins",A1:CV300,131,FALSE)=0,0,HLOOKUP("Gs",A1:CV300,131,FALSE)/HLOOKUP("Mins",A1:CV300,131,FALSE)* 90)</f>
      </c>
      <c r="AX131" s="25402">
        <f>IF(HLOOKUP("Mins",A1:CV300,131,FALSE)=0,0,HLOOKUP("Bonus",A1:CV300,131,FALSE)/HLOOKUP("Mins",A1:CV300,131,FALSE)* 90)</f>
      </c>
      <c r="AY131" s="25403">
        <f>IF(HLOOKUP("Mins",A1:CV300,131,FALSE)=0,0,HLOOKUP("BPS",A1:CV300,131,FALSE)/HLOOKUP("Mins",A1:CV300,131,FALSE)* 90)</f>
      </c>
      <c r="AZ131" s="25404">
        <f>IF(HLOOKUP("Mins",A1:CV300,131,FALSE)=0,0,HLOOKUP("Base BPS",A1:CV300,131,FALSE)/HLOOKUP("Mins",A1:CV300,131,FALSE)* 90)</f>
      </c>
      <c r="BA131" s="25405">
        <f>IF(HLOOKUP("Mins",A1:CV300,131,FALSE)=0,0,HLOOKUP("PenTchs",A1:CV300,131,FALSE)/HLOOKUP("Mins",A1:CV300,131,FALSE)* 90)</f>
      </c>
      <c r="BB131" s="25406">
        <f>IF(HLOOKUP("Mins",A1:CV300,131,FALSE)=0,0,HLOOKUP("Shots",A1:CV300,131,FALSE)/HLOOKUP("Mins",A1:CV300,131,FALSE)* 90)</f>
      </c>
      <c r="BC131" s="25407">
        <f>IF(HLOOKUP("Mins",A1:CV300,131,FALSE)=0,0,HLOOKUP("SIB",A1:CV300,131,FALSE)/HLOOKUP("Mins",A1:CV300,131,FALSE)* 90)</f>
      </c>
      <c r="BD131" s="25408">
        <f>IF(HLOOKUP("Mins",A1:CV300,131,FALSE)=0,0,HLOOKUP("S6YD",A1:CV300,131,FALSE)/HLOOKUP("Mins",A1:CV300,131,FALSE)* 90)</f>
      </c>
      <c r="BE131" s="25409">
        <f>IF(HLOOKUP("Mins",A1:CV300,131,FALSE)=0,0,HLOOKUP("Headers",A1:CV300,131,FALSE)/HLOOKUP("Mins",A1:CV300,131,FALSE)* 90)</f>
      </c>
      <c r="BF131" s="25410">
        <f>IF(HLOOKUP("Mins",A1:CV300,131,FALSE)=0,0,HLOOKUP("SOT",A1:CV300,131,FALSE)/HLOOKUP("Mins",A1:CV300,131,FALSE)* 90)</f>
      </c>
      <c r="BG131" s="25411">
        <f>IF(HLOOKUP("Mins",A1:CV300,131,FALSE)=0,0,HLOOKUP("As",A1:CV300,131,FALSE)/HLOOKUP("Mins",A1:CV300,131,FALSE)* 90)</f>
      </c>
      <c r="BH131" s="25412">
        <f>IF(HLOOKUP("Mins",A1:CV300,131,FALSE)=0,0,HLOOKUP("FPL As",A1:CV300,131,FALSE)/HLOOKUP("Mins",A1:CV300,131,FALSE)* 90)</f>
      </c>
      <c r="BI131" s="25413">
        <f>IF(HLOOKUP("Mins",A1:CV300,131,FALSE)=0,0,HLOOKUP("BC Created",A1:CV300,131,FALSE)/HLOOKUP("Mins",A1:CV300,131,FALSE)* 90)</f>
      </c>
      <c r="BJ131" s="25414">
        <f>IF(HLOOKUP("Mins",A1:CV300,131,FALSE)=0,0,HLOOKUP("KP",A1:CV300,131,FALSE)/HLOOKUP("Mins",A1:CV300,131,FALSE)* 90)</f>
      </c>
      <c r="BK131" s="25415">
        <f>IF(HLOOKUP("Mins",A1:CV300,131,FALSE)=0,0,HLOOKUP("BC",A1:CV300,131,FALSE)/HLOOKUP("Mins",A1:CV300,131,FALSE)* 90)</f>
      </c>
      <c r="BL131" s="25416">
        <f>IF(HLOOKUP("Mins",A1:CV300,131,FALSE)=0,0,HLOOKUP("BC Miss",A1:CV300,131,FALSE)/HLOOKUP("Mins",A1:CV300,131,FALSE)* 90)</f>
      </c>
      <c r="BM131" s="25417">
        <f>IF(HLOOKUP("Mins",A1:CV300,131,FALSE)=0,0,HLOOKUP("Gs - BC",A1:CV300,131,FALSE)/HLOOKUP("Mins",A1:CV300,131,FALSE)* 90)</f>
      </c>
      <c r="BN131" s="25418">
        <f>IF(HLOOKUP("Mins",A1:CV300,131,FALSE)=0,0,HLOOKUP("GIB",A1:CV300,131,FALSE)/HLOOKUP("Mins",A1:CV300,131,FALSE)* 90)</f>
      </c>
      <c r="BO131" s="25419">
        <f>IF(HLOOKUP("Mins",A1:CV300,131,FALSE)=0,0,HLOOKUP("Gs - Open",A1:CV300,131,FALSE)/HLOOKUP("Mins",A1:CV300,131,FALSE)* 90)</f>
      </c>
      <c r="BP131" s="25420">
        <f>IF(HLOOKUP("Mins",A1:CV300,131,FALSE)=0,0,HLOOKUP("ICT Index",A1:CV300,131,FALSE)/HLOOKUP("Mins",A1:CV300,131,FALSE)* 90)</f>
      </c>
      <c r="BQ131" s="25421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5422">
        <f>0.0885*HLOOKUP("KP/90",A1:CV300,131,FALSE)</f>
      </c>
      <c r="BS131" s="25423">
        <f>5*HLOOKUP("xG/90",A1:CV300,131,FALSE)+3*HLOOKUP("xA/90",A1:CV300,131,FALSE)</f>
      </c>
      <c r="BT131" s="25424">
        <f>HLOOKUP("xPts/90",A1:CV300,131,FALSE)-(5*0.75*(HLOOKUP("PK Gs",A1:CV300,131,FALSE)+HLOOKUP("PK Miss",A1:CV300,131,FALSE))*90/HLOOKUP("Mins",A1:CV300,131,FALSE))</f>
      </c>
      <c r="BU131" s="25425">
        <f>IF(HLOOKUP("Mins",A1:CV300,131,FALSE)=0,0,HLOOKUP("fsXG",A1:CV300,131,FALSE)/HLOOKUP("Mins",A1:CV300,131,FALSE)* 90)</f>
      </c>
      <c r="BV131" s="25426">
        <f>IF(HLOOKUP("Mins",A1:CV300,131,FALSE)=0,0,HLOOKUP("fsXA",A1:CV300,131,FALSE)/HLOOKUP("Mins",A1:CV300,131,FALSE)* 90)</f>
      </c>
      <c r="BW131" s="25427">
        <f>5*HLOOKUP("fsXG/90",A1:CV300,131,FALSE)+3*HLOOKUP("fsXA/90",A1:CV300,131,FALSE)</f>
      </c>
      <c r="BX131" t="n" s="25428">
        <v>0.0</v>
      </c>
      <c r="BY131" t="n" s="25429">
        <v>0.04444621875882149</v>
      </c>
      <c r="BZ131" s="25430">
        <f>5*HLOOKUP("uXG/90",A1:CV300,131,FALSE)+3*HLOOKUP("uXA/90",A1:CV300,131,FALSE)</f>
      </c>
    </row>
    <row r="132">
      <c r="A132" t="s" s="25431">
        <v>423</v>
      </c>
      <c r="B132" t="s" s="25432">
        <v>102</v>
      </c>
      <c r="C132" t="n" s="25433">
        <v>4.5</v>
      </c>
      <c r="D132" t="n" s="25434">
        <v>180.0</v>
      </c>
      <c r="E132" t="n" s="25435">
        <v>2.0</v>
      </c>
      <c r="F132" t="n" s="25436">
        <v>22.0</v>
      </c>
      <c r="G132" t="n" s="25437">
        <v>1.0</v>
      </c>
      <c r="H132" t="n" s="25438">
        <v>2.0</v>
      </c>
      <c r="I132" t="n" s="25439">
        <v>83.0</v>
      </c>
      <c r="J132" s="25440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5441">
        <v>0.0</v>
      </c>
      <c r="L132" t="n" s="25442">
        <v>1.0</v>
      </c>
      <c r="M132" t="n" s="25443">
        <v>2.0</v>
      </c>
      <c r="N132" t="n" s="25444">
        <v>1.0</v>
      </c>
      <c r="O132" t="n" s="25445">
        <v>1.0</v>
      </c>
      <c r="P132" s="25446">
        <f>IF(HLOOKUP("Shots",A1:CV300,132,FALSE)=0,0,HLOOKUP("SIB",A1:CV300,132,FALSE)/HLOOKUP("Shots",A1:CV300,132,FALSE))</f>
      </c>
      <c r="Q132" t="n" s="25447">
        <v>0.0</v>
      </c>
      <c r="R132" s="25448">
        <f>IF(HLOOKUP("Shots",A1:CV300,132,FALSE)=0,0,HLOOKUP("S6YD",A1:CV300,132,FALSE)/HLOOKUP("Shots",A1:CV300,132,FALSE))</f>
      </c>
      <c r="S132" t="n" s="25449">
        <v>0.0</v>
      </c>
      <c r="T132" s="25450">
        <f>IF(HLOOKUP("Shots",A1:CV300,132,FALSE)=0,0,HLOOKUP("Headers",A1:CV300,132,FALSE)/HLOOKUP("Shots",A1:CV300,132,FALSE))</f>
      </c>
      <c r="U132" t="n" s="25451">
        <v>1.0</v>
      </c>
      <c r="V132" s="25452">
        <f>IF(HLOOKUP("Shots",A1:CV300,132,FALSE)=0,0,HLOOKUP("SOT",A1:CV300,132,FALSE)/HLOOKUP("Shots",A1:CV300,132,FALSE))</f>
      </c>
      <c r="W132" s="25453">
        <f>IF(HLOOKUP("Shots",A1:CV300,132,FALSE)=0,0,HLOOKUP("Gs",A1:CV300,132,FALSE)/HLOOKUP("Shots",A1:CV300,132,FALSE))</f>
      </c>
      <c r="X132" t="n" s="25454">
        <v>0.0</v>
      </c>
      <c r="Y132" t="n" s="25455">
        <v>0.0</v>
      </c>
      <c r="Z132" t="n" s="25456">
        <v>1.0</v>
      </c>
      <c r="AA132" s="25457">
        <f>IF(HLOOKUP("KP",A1:CV300,132,FALSE)=0,0,HLOOKUP("As",A1:CV300,132,FALSE)/HLOOKUP("KP",A1:CV300,132,FALSE))</f>
      </c>
      <c r="AB132" s="25458"/>
      <c r="AC132" t="n" s="25459">
        <v>50.0</v>
      </c>
      <c r="AD132" t="n" s="25460">
        <v>0.0</v>
      </c>
      <c r="AE132" t="n" s="25461">
        <v>1.0</v>
      </c>
      <c r="AF132" t="n" s="25462">
        <v>0.0</v>
      </c>
      <c r="AG132" s="25463">
        <f>IF(HLOOKUP("BC",A1:CV300,132,FALSE)=0,0,HLOOKUP("Gs - BC",A1:CV300,132,FALSE)/HLOOKUP("BC",A1:CV300,132,FALSE))</f>
      </c>
      <c r="AH132" s="25464">
        <f>HLOOKUP("BC",A1:CV300,132,FALSE) - HLOOKUP("BC Miss",A1:CV300,132,FALSE)</f>
      </c>
      <c r="AI132" s="25465">
        <f>IF(HLOOKUP("Gs",A1:CV300,132,FALSE)=0,0,HLOOKUP("Gs - BC",A1:CV300,132,FALSE)/HLOOKUP("Gs",A1:CV300,132,FALSE))</f>
      </c>
      <c r="AJ132" t="n" s="25466">
        <v>0.0</v>
      </c>
      <c r="AK132" t="n" s="25467">
        <v>0.0</v>
      </c>
      <c r="AL132" s="25468">
        <f>HLOOKUP("BC",A1:CV300,132,FALSE) - (HLOOKUP("PK Gs",A1:CV300,132,FALSE) + HLOOKUP("PK Miss",A1:CV300,132,FALSE))</f>
      </c>
      <c r="AM132" s="25469">
        <f>HLOOKUP("BC Miss",A1:CV300,132,FALSE) - HLOOKUP("PK Miss",A1:CV300,132,FALSE)</f>
      </c>
      <c r="AN132" s="25470">
        <f>IF(HLOOKUP("BC - Open",A1:CV300,132,FALSE)=0,0,HLOOKUP("BC - Open Miss",A1:CV300,132,FALSE)/HLOOKUP("BC - Open",A1:CV300,132,FALSE))</f>
      </c>
      <c r="AO132" t="n" s="25471">
        <v>1.0</v>
      </c>
      <c r="AP132" s="25472">
        <f>IF(HLOOKUP("Gs",A1:CV300,132,FALSE)=0,0,HLOOKUP("GIB",A1:CV300,132,FALSE)/HLOOKUP("Gs",A1:CV300,132,FALSE))</f>
      </c>
      <c r="AQ132" t="n" s="25473">
        <v>0.0</v>
      </c>
      <c r="AR132" s="25474">
        <f>IF(HLOOKUP("Gs",A1:CV300,132,FALSE)=0,0,HLOOKUP("Gs - Open",A1:CV300,132,FALSE)/HLOOKUP("Gs",A1:CV300,132,FALSE))</f>
      </c>
      <c r="AS132" t="n" s="25475">
        <v>0.14</v>
      </c>
      <c r="AT132" t="n" s="25476">
        <v>0.2</v>
      </c>
      <c r="AU132" s="25477">
        <f>IF(HLOOKUP("Mins",A1:CV300,132,FALSE)=0,0,HLOOKUP("Pts",A1:CV300,132,FALSE)/HLOOKUP("Mins",A1:CV300,132,FALSE)* 90)</f>
      </c>
      <c r="AV132" s="25478">
        <f>IF(HLOOKUP("Apps",A1:CV300,132,FALSE)=0,0,HLOOKUP("Pts",A1:CV300,132,FALSE)/HLOOKUP("Apps",A1:CV300,132,FALSE)* 1)</f>
      </c>
      <c r="AW132" s="25479">
        <f>IF(HLOOKUP("Mins",A1:CV300,132,FALSE)=0,0,HLOOKUP("Gs",A1:CV300,132,FALSE)/HLOOKUP("Mins",A1:CV300,132,FALSE)* 90)</f>
      </c>
      <c r="AX132" s="25480">
        <f>IF(HLOOKUP("Mins",A1:CV300,132,FALSE)=0,0,HLOOKUP("Bonus",A1:CV300,132,FALSE)/HLOOKUP("Mins",A1:CV300,132,FALSE)* 90)</f>
      </c>
      <c r="AY132" s="25481">
        <f>IF(HLOOKUP("Mins",A1:CV300,132,FALSE)=0,0,HLOOKUP("BPS",A1:CV300,132,FALSE)/HLOOKUP("Mins",A1:CV300,132,FALSE)* 90)</f>
      </c>
      <c r="AZ132" s="25482">
        <f>IF(HLOOKUP("Mins",A1:CV300,132,FALSE)=0,0,HLOOKUP("Base BPS",A1:CV300,132,FALSE)/HLOOKUP("Mins",A1:CV300,132,FALSE)* 90)</f>
      </c>
      <c r="BA132" s="25483">
        <f>IF(HLOOKUP("Mins",A1:CV300,132,FALSE)=0,0,HLOOKUP("PenTchs",A1:CV300,132,FALSE)/HLOOKUP("Mins",A1:CV300,132,FALSE)* 90)</f>
      </c>
      <c r="BB132" s="25484">
        <f>IF(HLOOKUP("Mins",A1:CV300,132,FALSE)=0,0,HLOOKUP("Shots",A1:CV300,132,FALSE)/HLOOKUP("Mins",A1:CV300,132,FALSE)* 90)</f>
      </c>
      <c r="BC132" s="25485">
        <f>IF(HLOOKUP("Mins",A1:CV300,132,FALSE)=0,0,HLOOKUP("SIB",A1:CV300,132,FALSE)/HLOOKUP("Mins",A1:CV300,132,FALSE)* 90)</f>
      </c>
      <c r="BD132" s="25486">
        <f>IF(HLOOKUP("Mins",A1:CV300,132,FALSE)=0,0,HLOOKUP("S6YD",A1:CV300,132,FALSE)/HLOOKUP("Mins",A1:CV300,132,FALSE)* 90)</f>
      </c>
      <c r="BE132" s="25487">
        <f>IF(HLOOKUP("Mins",A1:CV300,132,FALSE)=0,0,HLOOKUP("Headers",A1:CV300,132,FALSE)/HLOOKUP("Mins",A1:CV300,132,FALSE)* 90)</f>
      </c>
      <c r="BF132" s="25488">
        <f>IF(HLOOKUP("Mins",A1:CV300,132,FALSE)=0,0,HLOOKUP("SOT",A1:CV300,132,FALSE)/HLOOKUP("Mins",A1:CV300,132,FALSE)* 90)</f>
      </c>
      <c r="BG132" s="25489">
        <f>IF(HLOOKUP("Mins",A1:CV300,132,FALSE)=0,0,HLOOKUP("As",A1:CV300,132,FALSE)/HLOOKUP("Mins",A1:CV300,132,FALSE)* 90)</f>
      </c>
      <c r="BH132" s="25490">
        <f>IF(HLOOKUP("Mins",A1:CV300,132,FALSE)=0,0,HLOOKUP("FPL As",A1:CV300,132,FALSE)/HLOOKUP("Mins",A1:CV300,132,FALSE)* 90)</f>
      </c>
      <c r="BI132" s="25491">
        <f>IF(HLOOKUP("Mins",A1:CV300,132,FALSE)=0,0,HLOOKUP("BC Created",A1:CV300,132,FALSE)/HLOOKUP("Mins",A1:CV300,132,FALSE)* 90)</f>
      </c>
      <c r="BJ132" s="25492">
        <f>IF(HLOOKUP("Mins",A1:CV300,132,FALSE)=0,0,HLOOKUP("KP",A1:CV300,132,FALSE)/HLOOKUP("Mins",A1:CV300,132,FALSE)* 90)</f>
      </c>
      <c r="BK132" s="25493">
        <f>IF(HLOOKUP("Mins",A1:CV300,132,FALSE)=0,0,HLOOKUP("BC",A1:CV300,132,FALSE)/HLOOKUP("Mins",A1:CV300,132,FALSE)* 90)</f>
      </c>
      <c r="BL132" s="25494">
        <f>IF(HLOOKUP("Mins",A1:CV300,132,FALSE)=0,0,HLOOKUP("BC Miss",A1:CV300,132,FALSE)/HLOOKUP("Mins",A1:CV300,132,FALSE)* 90)</f>
      </c>
      <c r="BM132" s="25495">
        <f>IF(HLOOKUP("Mins",A1:CV300,132,FALSE)=0,0,HLOOKUP("Gs - BC",A1:CV300,132,FALSE)/HLOOKUP("Mins",A1:CV300,132,FALSE)* 90)</f>
      </c>
      <c r="BN132" s="25496">
        <f>IF(HLOOKUP("Mins",A1:CV300,132,FALSE)=0,0,HLOOKUP("GIB",A1:CV300,132,FALSE)/HLOOKUP("Mins",A1:CV300,132,FALSE)* 90)</f>
      </c>
      <c r="BO132" s="25497">
        <f>IF(HLOOKUP("Mins",A1:CV300,132,FALSE)=0,0,HLOOKUP("Gs - Open",A1:CV300,132,FALSE)/HLOOKUP("Mins",A1:CV300,132,FALSE)* 90)</f>
      </c>
      <c r="BP132" s="25498">
        <f>IF(HLOOKUP("Mins",A1:CV300,132,FALSE)=0,0,HLOOKUP("ICT Index",A1:CV300,132,FALSE)/HLOOKUP("Mins",A1:CV300,132,FALSE)* 90)</f>
      </c>
      <c r="BQ132" s="25499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5500">
        <f>0.0885*HLOOKUP("KP/90",A1:CV300,132,FALSE)</f>
      </c>
      <c r="BS132" s="25501">
        <f>5*HLOOKUP("xG/90",A1:CV300,132,FALSE)+3*HLOOKUP("xA/90",A1:CV300,132,FALSE)</f>
      </c>
      <c r="BT132" s="25502">
        <f>HLOOKUP("xPts/90",A1:CV300,132,FALSE)-(5*0.75*(HLOOKUP("PK Gs",A1:CV300,132,FALSE)+HLOOKUP("PK Miss",A1:CV300,132,FALSE))*90/HLOOKUP("Mins",A1:CV300,132,FALSE))</f>
      </c>
      <c r="BU132" s="25503">
        <f>IF(HLOOKUP("Mins",A1:CV300,132,FALSE)=0,0,HLOOKUP("fsXG",A1:CV300,132,FALSE)/HLOOKUP("Mins",A1:CV300,132,FALSE)* 90)</f>
      </c>
      <c r="BV132" s="25504">
        <f>IF(HLOOKUP("Mins",A1:CV300,132,FALSE)=0,0,HLOOKUP("fsXA",A1:CV300,132,FALSE)/HLOOKUP("Mins",A1:CV300,132,FALSE)* 90)</f>
      </c>
      <c r="BW132" s="25505">
        <f>5*HLOOKUP("fsXG/90",A1:CV300,132,FALSE)+3*HLOOKUP("fsXA/90",A1:CV300,132,FALSE)</f>
      </c>
      <c r="BX132" t="n" s="25506">
        <v>0.2744494676589966</v>
      </c>
      <c r="BY132" t="n" s="25507">
        <v>0.004590497352182865</v>
      </c>
      <c r="BZ132" s="25508">
        <f>5*HLOOKUP("uXG/90",A1:CV300,132,FALSE)+3*HLOOKUP("uXA/90",A1:CV300,132,FALSE)</f>
      </c>
    </row>
    <row r="133">
      <c r="A133" t="s" s="25509">
        <v>424</v>
      </c>
      <c r="B133" t="s" s="25510">
        <v>105</v>
      </c>
      <c r="C133" t="n" s="25511">
        <v>7.400000095367432</v>
      </c>
      <c r="D133" t="n" s="25512">
        <v>97.0</v>
      </c>
      <c r="E133" t="n" s="25513">
        <v>2.0</v>
      </c>
      <c r="F133" t="n" s="25514">
        <v>85.0</v>
      </c>
      <c r="G133" t="n" s="25515">
        <v>0.0</v>
      </c>
      <c r="H133" t="n" s="25516">
        <v>8.0</v>
      </c>
      <c r="I133" t="n" s="25517">
        <v>322.0</v>
      </c>
      <c r="J133" s="25518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5519">
        <v>0.0</v>
      </c>
      <c r="L133" t="n" s="25520">
        <v>6.0</v>
      </c>
      <c r="M133" t="n" s="25521">
        <v>10.0</v>
      </c>
      <c r="N133" t="n" s="25522">
        <v>3.0</v>
      </c>
      <c r="O133" t="n" s="25523">
        <v>1.0</v>
      </c>
      <c r="P133" s="25524">
        <f>IF(HLOOKUP("Shots",A1:CV300,133,FALSE)=0,0,HLOOKUP("SIB",A1:CV300,133,FALSE)/HLOOKUP("Shots",A1:CV300,133,FALSE))</f>
      </c>
      <c r="Q133" t="n" s="25525">
        <v>0.0</v>
      </c>
      <c r="R133" s="25526">
        <f>IF(HLOOKUP("Shots",A1:CV300,133,FALSE)=0,0,HLOOKUP("S6YD",A1:CV300,133,FALSE)/HLOOKUP("Shots",A1:CV300,133,FALSE))</f>
      </c>
      <c r="S133" t="n" s="25527">
        <v>0.0</v>
      </c>
      <c r="T133" s="25528">
        <f>IF(HLOOKUP("Shots",A1:CV300,133,FALSE)=0,0,HLOOKUP("Headers",A1:CV300,133,FALSE)/HLOOKUP("Shots",A1:CV300,133,FALSE))</f>
      </c>
      <c r="U133" t="n" s="25529">
        <v>1.0</v>
      </c>
      <c r="V133" s="25530">
        <f>IF(HLOOKUP("Shots",A1:CV300,133,FALSE)=0,0,HLOOKUP("SOT",A1:CV300,133,FALSE)/HLOOKUP("Shots",A1:CV300,133,FALSE))</f>
      </c>
      <c r="W133" s="25531">
        <f>IF(HLOOKUP("Shots",A1:CV300,133,FALSE)=0,0,HLOOKUP("Gs",A1:CV300,133,FALSE)/HLOOKUP("Shots",A1:CV300,133,FALSE))</f>
      </c>
      <c r="X133" t="n" s="25532">
        <v>1.0</v>
      </c>
      <c r="Y133" t="n" s="25533">
        <v>9.0</v>
      </c>
      <c r="Z133" t="n" s="25534">
        <v>5.0</v>
      </c>
      <c r="AA133" s="25535">
        <f>IF(HLOOKUP("KP",A1:CV300,133,FALSE)=0,0,HLOOKUP("As",A1:CV300,133,FALSE)/HLOOKUP("KP",A1:CV300,133,FALSE))</f>
      </c>
      <c r="AB133" s="25536"/>
      <c r="AC133" t="n" s="25537">
        <v>17.0</v>
      </c>
      <c r="AD133" t="n" s="25538">
        <v>1.0</v>
      </c>
      <c r="AE133" t="n" s="25539">
        <v>0.0</v>
      </c>
      <c r="AF133" t="n" s="25540">
        <v>0.0</v>
      </c>
      <c r="AG133" s="25541">
        <f>IF(HLOOKUP("BC",A1:CV300,133,FALSE)=0,0,HLOOKUP("Gs - BC",A1:CV300,133,FALSE)/HLOOKUP("BC",A1:CV300,133,FALSE))</f>
      </c>
      <c r="AH133" s="25542">
        <f>HLOOKUP("BC",A1:CV300,133,FALSE) - HLOOKUP("BC Miss",A1:CV300,133,FALSE)</f>
      </c>
      <c r="AI133" s="25543">
        <f>IF(HLOOKUP("Gs",A1:CV300,133,FALSE)=0,0,HLOOKUP("Gs - BC",A1:CV300,133,FALSE)/HLOOKUP("Gs",A1:CV300,133,FALSE))</f>
      </c>
      <c r="AJ133" t="n" s="25544">
        <v>0.0</v>
      </c>
      <c r="AK133" t="n" s="25545">
        <v>0.0</v>
      </c>
      <c r="AL133" s="25546">
        <f>HLOOKUP("BC",A1:CV300,133,FALSE) - (HLOOKUP("PK Gs",A1:CV300,133,FALSE) + HLOOKUP("PK Miss",A1:CV300,133,FALSE))</f>
      </c>
      <c r="AM133" s="25547">
        <f>HLOOKUP("BC Miss",A1:CV300,133,FALSE) - HLOOKUP("PK Miss",A1:CV300,133,FALSE)</f>
      </c>
      <c r="AN133" s="25548">
        <f>IF(HLOOKUP("BC - Open",A1:CV300,133,FALSE)=0,0,HLOOKUP("BC - Open Miss",A1:CV300,133,FALSE)/HLOOKUP("BC - Open",A1:CV300,133,FALSE))</f>
      </c>
      <c r="AO133" t="n" s="25549">
        <v>0.0</v>
      </c>
      <c r="AP133" s="25550">
        <f>IF(HLOOKUP("Gs",A1:CV300,133,FALSE)=0,0,HLOOKUP("GIB",A1:CV300,133,FALSE)/HLOOKUP("Gs",A1:CV300,133,FALSE))</f>
      </c>
      <c r="AQ133" t="n" s="25551">
        <v>0.0</v>
      </c>
      <c r="AR133" s="25552">
        <f>IF(HLOOKUP("Gs",A1:CV300,133,FALSE)=0,0,HLOOKUP("Gs - Open",A1:CV300,133,FALSE)/HLOOKUP("Gs",A1:CV300,133,FALSE))</f>
      </c>
      <c r="AS133" t="n" s="25553">
        <v>0.19</v>
      </c>
      <c r="AT133" t="n" s="25554">
        <v>0.19</v>
      </c>
      <c r="AU133" s="25555">
        <f>IF(HLOOKUP("Mins",A1:CV300,133,FALSE)=0,0,HLOOKUP("Pts",A1:CV300,133,FALSE)/HLOOKUP("Mins",A1:CV300,133,FALSE)* 90)</f>
      </c>
      <c r="AV133" s="25556">
        <f>IF(HLOOKUP("Apps",A1:CV300,133,FALSE)=0,0,HLOOKUP("Pts",A1:CV300,133,FALSE)/HLOOKUP("Apps",A1:CV300,133,FALSE)* 1)</f>
      </c>
      <c r="AW133" s="25557">
        <f>IF(HLOOKUP("Mins",A1:CV300,133,FALSE)=0,0,HLOOKUP("Gs",A1:CV300,133,FALSE)/HLOOKUP("Mins",A1:CV300,133,FALSE)* 90)</f>
      </c>
      <c r="AX133" s="25558">
        <f>IF(HLOOKUP("Mins",A1:CV300,133,FALSE)=0,0,HLOOKUP("Bonus",A1:CV300,133,FALSE)/HLOOKUP("Mins",A1:CV300,133,FALSE)* 90)</f>
      </c>
      <c r="AY133" s="25559">
        <f>IF(HLOOKUP("Mins",A1:CV300,133,FALSE)=0,0,HLOOKUP("BPS",A1:CV300,133,FALSE)/HLOOKUP("Mins",A1:CV300,133,FALSE)* 90)</f>
      </c>
      <c r="AZ133" s="25560">
        <f>IF(HLOOKUP("Mins",A1:CV300,133,FALSE)=0,0,HLOOKUP("Base BPS",A1:CV300,133,FALSE)/HLOOKUP("Mins",A1:CV300,133,FALSE)* 90)</f>
      </c>
      <c r="BA133" s="25561">
        <f>IF(HLOOKUP("Mins",A1:CV300,133,FALSE)=0,0,HLOOKUP("PenTchs",A1:CV300,133,FALSE)/HLOOKUP("Mins",A1:CV300,133,FALSE)* 90)</f>
      </c>
      <c r="BB133" s="25562">
        <f>IF(HLOOKUP("Mins",A1:CV300,133,FALSE)=0,0,HLOOKUP("Shots",A1:CV300,133,FALSE)/HLOOKUP("Mins",A1:CV300,133,FALSE)* 90)</f>
      </c>
      <c r="BC133" s="25563">
        <f>IF(HLOOKUP("Mins",A1:CV300,133,FALSE)=0,0,HLOOKUP("SIB",A1:CV300,133,FALSE)/HLOOKUP("Mins",A1:CV300,133,FALSE)* 90)</f>
      </c>
      <c r="BD133" s="25564">
        <f>IF(HLOOKUP("Mins",A1:CV300,133,FALSE)=0,0,HLOOKUP("S6YD",A1:CV300,133,FALSE)/HLOOKUP("Mins",A1:CV300,133,FALSE)* 90)</f>
      </c>
      <c r="BE133" s="25565">
        <f>IF(HLOOKUP("Mins",A1:CV300,133,FALSE)=0,0,HLOOKUP("Headers",A1:CV300,133,FALSE)/HLOOKUP("Mins",A1:CV300,133,FALSE)* 90)</f>
      </c>
      <c r="BF133" s="25566">
        <f>IF(HLOOKUP("Mins",A1:CV300,133,FALSE)=0,0,HLOOKUP("SOT",A1:CV300,133,FALSE)/HLOOKUP("Mins",A1:CV300,133,FALSE)* 90)</f>
      </c>
      <c r="BG133" s="25567">
        <f>IF(HLOOKUP("Mins",A1:CV300,133,FALSE)=0,0,HLOOKUP("As",A1:CV300,133,FALSE)/HLOOKUP("Mins",A1:CV300,133,FALSE)* 90)</f>
      </c>
      <c r="BH133" s="25568">
        <f>IF(HLOOKUP("Mins",A1:CV300,133,FALSE)=0,0,HLOOKUP("FPL As",A1:CV300,133,FALSE)/HLOOKUP("Mins",A1:CV300,133,FALSE)* 90)</f>
      </c>
      <c r="BI133" s="25569">
        <f>IF(HLOOKUP("Mins",A1:CV300,133,FALSE)=0,0,HLOOKUP("BC Created",A1:CV300,133,FALSE)/HLOOKUP("Mins",A1:CV300,133,FALSE)* 90)</f>
      </c>
      <c r="BJ133" s="25570">
        <f>IF(HLOOKUP("Mins",A1:CV300,133,FALSE)=0,0,HLOOKUP("KP",A1:CV300,133,FALSE)/HLOOKUP("Mins",A1:CV300,133,FALSE)* 90)</f>
      </c>
      <c r="BK133" s="25571">
        <f>IF(HLOOKUP("Mins",A1:CV300,133,FALSE)=0,0,HLOOKUP("BC",A1:CV300,133,FALSE)/HLOOKUP("Mins",A1:CV300,133,FALSE)* 90)</f>
      </c>
      <c r="BL133" s="25572">
        <f>IF(HLOOKUP("Mins",A1:CV300,133,FALSE)=0,0,HLOOKUP("BC Miss",A1:CV300,133,FALSE)/HLOOKUP("Mins",A1:CV300,133,FALSE)* 90)</f>
      </c>
      <c r="BM133" s="25573">
        <f>IF(HLOOKUP("Mins",A1:CV300,133,FALSE)=0,0,HLOOKUP("Gs - BC",A1:CV300,133,FALSE)/HLOOKUP("Mins",A1:CV300,133,FALSE)* 90)</f>
      </c>
      <c r="BN133" s="25574">
        <f>IF(HLOOKUP("Mins",A1:CV300,133,FALSE)=0,0,HLOOKUP("GIB",A1:CV300,133,FALSE)/HLOOKUP("Mins",A1:CV300,133,FALSE)* 90)</f>
      </c>
      <c r="BO133" s="25575">
        <f>IF(HLOOKUP("Mins",A1:CV300,133,FALSE)=0,0,HLOOKUP("Gs - Open",A1:CV300,133,FALSE)/HLOOKUP("Mins",A1:CV300,133,FALSE)* 90)</f>
      </c>
      <c r="BP133" s="25576">
        <f>IF(HLOOKUP("Mins",A1:CV300,133,FALSE)=0,0,HLOOKUP("ICT Index",A1:CV300,133,FALSE)/HLOOKUP("Mins",A1:CV300,133,FALSE)* 90)</f>
      </c>
      <c r="BQ133" s="25577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5578">
        <f>0.0885*HLOOKUP("KP/90",A1:CV300,133,FALSE)</f>
      </c>
      <c r="BS133" s="25579">
        <f>5*HLOOKUP("xG/90",A1:CV300,133,FALSE)+3*HLOOKUP("xA/90",A1:CV300,133,FALSE)</f>
      </c>
      <c r="BT133" s="25580">
        <f>HLOOKUP("xPts/90",A1:CV300,133,FALSE)-(5*0.75*(HLOOKUP("PK Gs",A1:CV300,133,FALSE)+HLOOKUP("PK Miss",A1:CV300,133,FALSE))*90/HLOOKUP("Mins",A1:CV300,133,FALSE))</f>
      </c>
      <c r="BU133" s="25581">
        <f>IF(HLOOKUP("Mins",A1:CV300,133,FALSE)=0,0,HLOOKUP("fsXG",A1:CV300,133,FALSE)/HLOOKUP("Mins",A1:CV300,133,FALSE)* 90)</f>
      </c>
      <c r="BV133" s="25582">
        <f>IF(HLOOKUP("Mins",A1:CV300,133,FALSE)=0,0,HLOOKUP("fsXA",A1:CV300,133,FALSE)/HLOOKUP("Mins",A1:CV300,133,FALSE)* 90)</f>
      </c>
      <c r="BW133" s="25583">
        <f>5*HLOOKUP("fsXG/90",A1:CV300,133,FALSE)+3*HLOOKUP("fsXA/90",A1:CV300,133,FALSE)</f>
      </c>
      <c r="BX133" t="n" s="25584">
        <v>0.18659177422523499</v>
      </c>
      <c r="BY133" t="n" s="25585">
        <v>0.7280318140983582</v>
      </c>
      <c r="BZ133" s="25586">
        <f>5*HLOOKUP("uXG/90",A1:CV300,133,FALSE)+3*HLOOKUP("uXA/90",A1:CV300,133,FALSE)</f>
      </c>
    </row>
    <row r="134">
      <c r="A134" t="s" s="25587">
        <v>425</v>
      </c>
      <c r="B134" t="s" s="25588">
        <v>144</v>
      </c>
      <c r="C134" t="n" s="25589">
        <v>7.900000095367432</v>
      </c>
      <c r="D134" t="n" s="25590">
        <v>506.0</v>
      </c>
      <c r="E134" t="n" s="25591">
        <v>6.0</v>
      </c>
      <c r="F134" t="n" s="25592">
        <v>89.0</v>
      </c>
      <c r="G134" t="n" s="25593">
        <v>4.0</v>
      </c>
      <c r="H134" t="n" s="25594">
        <v>7.0</v>
      </c>
      <c r="I134" t="n" s="25595">
        <v>240.0</v>
      </c>
      <c r="J134" s="25596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5597">
        <v>0.0</v>
      </c>
      <c r="L134" t="n" s="25598">
        <v>5.0</v>
      </c>
      <c r="M134" t="n" s="25599">
        <v>37.0</v>
      </c>
      <c r="N134" t="n" s="25600">
        <v>14.0</v>
      </c>
      <c r="O134" t="n" s="25601">
        <v>11.0</v>
      </c>
      <c r="P134" s="25602">
        <f>IF(HLOOKUP("Shots",A1:CV300,134,FALSE)=0,0,HLOOKUP("SIB",A1:CV300,134,FALSE)/HLOOKUP("Shots",A1:CV300,134,FALSE))</f>
      </c>
      <c r="Q134" t="n" s="25603">
        <v>0.0</v>
      </c>
      <c r="R134" s="25604">
        <f>IF(HLOOKUP("Shots",A1:CV300,134,FALSE)=0,0,HLOOKUP("S6YD",A1:CV300,134,FALSE)/HLOOKUP("Shots",A1:CV300,134,FALSE))</f>
      </c>
      <c r="S134" t="n" s="25605">
        <v>1.0</v>
      </c>
      <c r="T134" s="25606">
        <f>IF(HLOOKUP("Shots",A1:CV300,134,FALSE)=0,0,HLOOKUP("Headers",A1:CV300,134,FALSE)/HLOOKUP("Shots",A1:CV300,134,FALSE))</f>
      </c>
      <c r="U134" t="n" s="25607">
        <v>6.0</v>
      </c>
      <c r="V134" s="25608">
        <f>IF(HLOOKUP("Shots",A1:CV300,134,FALSE)=0,0,HLOOKUP("SOT",A1:CV300,134,FALSE)/HLOOKUP("Shots",A1:CV300,134,FALSE))</f>
      </c>
      <c r="W134" s="25609">
        <f>IF(HLOOKUP("Shots",A1:CV300,134,FALSE)=0,0,HLOOKUP("Gs",A1:CV300,134,FALSE)/HLOOKUP("Shots",A1:CV300,134,FALSE))</f>
      </c>
      <c r="X134" t="n" s="25610">
        <v>0.0</v>
      </c>
      <c r="Y134" t="n" s="25611">
        <v>3.0</v>
      </c>
      <c r="Z134" t="n" s="25612">
        <v>7.0</v>
      </c>
      <c r="AA134" s="25613">
        <f>IF(HLOOKUP("KP",A1:CV300,134,FALSE)=0,0,HLOOKUP("As",A1:CV300,134,FALSE)/HLOOKUP("KP",A1:CV300,134,FALSE))</f>
      </c>
      <c r="AB134" s="25614"/>
      <c r="AC134" t="n" s="25615">
        <v>40.0</v>
      </c>
      <c r="AD134" t="n" s="25616">
        <v>3.0</v>
      </c>
      <c r="AE134" t="n" s="25617">
        <v>4.0</v>
      </c>
      <c r="AF134" t="n" s="25618">
        <v>1.0</v>
      </c>
      <c r="AG134" s="25619">
        <f>IF(HLOOKUP("BC",A1:CV300,134,FALSE)=0,0,HLOOKUP("Gs - BC",A1:CV300,134,FALSE)/HLOOKUP("BC",A1:CV300,134,FALSE))</f>
      </c>
      <c r="AH134" s="25620">
        <f>HLOOKUP("BC",A1:CV300,134,FALSE) - HLOOKUP("BC Miss",A1:CV300,134,FALSE)</f>
      </c>
      <c r="AI134" s="25621">
        <f>IF(HLOOKUP("Gs",A1:CV300,134,FALSE)=0,0,HLOOKUP("Gs - BC",A1:CV300,134,FALSE)/HLOOKUP("Gs",A1:CV300,134,FALSE))</f>
      </c>
      <c r="AJ134" t="n" s="25622">
        <v>0.0</v>
      </c>
      <c r="AK134" t="n" s="25623">
        <v>0.0</v>
      </c>
      <c r="AL134" s="25624">
        <f>HLOOKUP("BC",A1:CV300,134,FALSE) - (HLOOKUP("PK Gs",A1:CV300,134,FALSE) + HLOOKUP("PK Miss",A1:CV300,134,FALSE))</f>
      </c>
      <c r="AM134" s="25625">
        <f>HLOOKUP("BC Miss",A1:CV300,134,FALSE) - HLOOKUP("PK Miss",A1:CV300,134,FALSE)</f>
      </c>
      <c r="AN134" s="25626">
        <f>IF(HLOOKUP("BC - Open",A1:CV300,134,FALSE)=0,0,HLOOKUP("BC - Open Miss",A1:CV300,134,FALSE)/HLOOKUP("BC - Open",A1:CV300,134,FALSE))</f>
      </c>
      <c r="AO134" t="n" s="25627">
        <v>4.0</v>
      </c>
      <c r="AP134" s="25628">
        <f>IF(HLOOKUP("Gs",A1:CV300,134,FALSE)=0,0,HLOOKUP("GIB",A1:CV300,134,FALSE)/HLOOKUP("Gs",A1:CV300,134,FALSE))</f>
      </c>
      <c r="AQ134" t="n" s="25629">
        <v>3.0</v>
      </c>
      <c r="AR134" s="25630">
        <f>IF(HLOOKUP("Gs",A1:CV300,134,FALSE)=0,0,HLOOKUP("Gs - Open",A1:CV300,134,FALSE)/HLOOKUP("Gs",A1:CV300,134,FALSE))</f>
      </c>
      <c r="AS134" t="n" s="25631">
        <v>1.95</v>
      </c>
      <c r="AT134" t="n" s="25632">
        <v>0.93</v>
      </c>
      <c r="AU134" s="25633">
        <f>IF(HLOOKUP("Mins",A1:CV300,134,FALSE)=0,0,HLOOKUP("Pts",A1:CV300,134,FALSE)/HLOOKUP("Mins",A1:CV300,134,FALSE)* 90)</f>
      </c>
      <c r="AV134" s="25634">
        <f>IF(HLOOKUP("Apps",A1:CV300,134,FALSE)=0,0,HLOOKUP("Pts",A1:CV300,134,FALSE)/HLOOKUP("Apps",A1:CV300,134,FALSE)* 1)</f>
      </c>
      <c r="AW134" s="25635">
        <f>IF(HLOOKUP("Mins",A1:CV300,134,FALSE)=0,0,HLOOKUP("Gs",A1:CV300,134,FALSE)/HLOOKUP("Mins",A1:CV300,134,FALSE)* 90)</f>
      </c>
      <c r="AX134" s="25636">
        <f>IF(HLOOKUP("Mins",A1:CV300,134,FALSE)=0,0,HLOOKUP("Bonus",A1:CV300,134,FALSE)/HLOOKUP("Mins",A1:CV300,134,FALSE)* 90)</f>
      </c>
      <c r="AY134" s="25637">
        <f>IF(HLOOKUP("Mins",A1:CV300,134,FALSE)=0,0,HLOOKUP("BPS",A1:CV300,134,FALSE)/HLOOKUP("Mins",A1:CV300,134,FALSE)* 90)</f>
      </c>
      <c r="AZ134" s="25638">
        <f>IF(HLOOKUP("Mins",A1:CV300,134,FALSE)=0,0,HLOOKUP("Base BPS",A1:CV300,134,FALSE)/HLOOKUP("Mins",A1:CV300,134,FALSE)* 90)</f>
      </c>
      <c r="BA134" s="25639">
        <f>IF(HLOOKUP("Mins",A1:CV300,134,FALSE)=0,0,HLOOKUP("PenTchs",A1:CV300,134,FALSE)/HLOOKUP("Mins",A1:CV300,134,FALSE)* 90)</f>
      </c>
      <c r="BB134" s="25640">
        <f>IF(HLOOKUP("Mins",A1:CV300,134,FALSE)=0,0,HLOOKUP("Shots",A1:CV300,134,FALSE)/HLOOKUP("Mins",A1:CV300,134,FALSE)* 90)</f>
      </c>
      <c r="BC134" s="25641">
        <f>IF(HLOOKUP("Mins",A1:CV300,134,FALSE)=0,0,HLOOKUP("SIB",A1:CV300,134,FALSE)/HLOOKUP("Mins",A1:CV300,134,FALSE)* 90)</f>
      </c>
      <c r="BD134" s="25642">
        <f>IF(HLOOKUP("Mins",A1:CV300,134,FALSE)=0,0,HLOOKUP("S6YD",A1:CV300,134,FALSE)/HLOOKUP("Mins",A1:CV300,134,FALSE)* 90)</f>
      </c>
      <c r="BE134" s="25643">
        <f>IF(HLOOKUP("Mins",A1:CV300,134,FALSE)=0,0,HLOOKUP("Headers",A1:CV300,134,FALSE)/HLOOKUP("Mins",A1:CV300,134,FALSE)* 90)</f>
      </c>
      <c r="BF134" s="25644">
        <f>IF(HLOOKUP("Mins",A1:CV300,134,FALSE)=0,0,HLOOKUP("SOT",A1:CV300,134,FALSE)/HLOOKUP("Mins",A1:CV300,134,FALSE)* 90)</f>
      </c>
      <c r="BG134" s="25645">
        <f>IF(HLOOKUP("Mins",A1:CV300,134,FALSE)=0,0,HLOOKUP("As",A1:CV300,134,FALSE)/HLOOKUP("Mins",A1:CV300,134,FALSE)* 90)</f>
      </c>
      <c r="BH134" s="25646">
        <f>IF(HLOOKUP("Mins",A1:CV300,134,FALSE)=0,0,HLOOKUP("FPL As",A1:CV300,134,FALSE)/HLOOKUP("Mins",A1:CV300,134,FALSE)* 90)</f>
      </c>
      <c r="BI134" s="25647">
        <f>IF(HLOOKUP("Mins",A1:CV300,134,FALSE)=0,0,HLOOKUP("BC Created",A1:CV300,134,FALSE)/HLOOKUP("Mins",A1:CV300,134,FALSE)* 90)</f>
      </c>
      <c r="BJ134" s="25648">
        <f>IF(HLOOKUP("Mins",A1:CV300,134,FALSE)=0,0,HLOOKUP("KP",A1:CV300,134,FALSE)/HLOOKUP("Mins",A1:CV300,134,FALSE)* 90)</f>
      </c>
      <c r="BK134" s="25649">
        <f>IF(HLOOKUP("Mins",A1:CV300,134,FALSE)=0,0,HLOOKUP("BC",A1:CV300,134,FALSE)/HLOOKUP("Mins",A1:CV300,134,FALSE)* 90)</f>
      </c>
      <c r="BL134" s="25650">
        <f>IF(HLOOKUP("Mins",A1:CV300,134,FALSE)=0,0,HLOOKUP("BC Miss",A1:CV300,134,FALSE)/HLOOKUP("Mins",A1:CV300,134,FALSE)* 90)</f>
      </c>
      <c r="BM134" s="25651">
        <f>IF(HLOOKUP("Mins",A1:CV300,134,FALSE)=0,0,HLOOKUP("Gs - BC",A1:CV300,134,FALSE)/HLOOKUP("Mins",A1:CV300,134,FALSE)* 90)</f>
      </c>
      <c r="BN134" s="25652">
        <f>IF(HLOOKUP("Mins",A1:CV300,134,FALSE)=0,0,HLOOKUP("GIB",A1:CV300,134,FALSE)/HLOOKUP("Mins",A1:CV300,134,FALSE)* 90)</f>
      </c>
      <c r="BO134" s="25653">
        <f>IF(HLOOKUP("Mins",A1:CV300,134,FALSE)=0,0,HLOOKUP("Gs - Open",A1:CV300,134,FALSE)/HLOOKUP("Mins",A1:CV300,134,FALSE)* 90)</f>
      </c>
      <c r="BP134" s="25654">
        <f>IF(HLOOKUP("Mins",A1:CV300,134,FALSE)=0,0,HLOOKUP("ICT Index",A1:CV300,134,FALSE)/HLOOKUP("Mins",A1:CV300,134,FALSE)* 90)</f>
      </c>
      <c r="BQ134" s="25655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5656">
        <f>0.0885*HLOOKUP("KP/90",A1:CV300,134,FALSE)</f>
      </c>
      <c r="BS134" s="25657">
        <f>5*HLOOKUP("xG/90",A1:CV300,134,FALSE)+3*HLOOKUP("xA/90",A1:CV300,134,FALSE)</f>
      </c>
      <c r="BT134" s="25658">
        <f>HLOOKUP("xPts/90",A1:CV300,134,FALSE)-(5*0.75*(HLOOKUP("PK Gs",A1:CV300,134,FALSE)+HLOOKUP("PK Miss",A1:CV300,134,FALSE))*90/HLOOKUP("Mins",A1:CV300,134,FALSE))</f>
      </c>
      <c r="BU134" s="25659">
        <f>IF(HLOOKUP("Mins",A1:CV300,134,FALSE)=0,0,HLOOKUP("fsXG",A1:CV300,134,FALSE)/HLOOKUP("Mins",A1:CV300,134,FALSE)* 90)</f>
      </c>
      <c r="BV134" s="25660">
        <f>IF(HLOOKUP("Mins",A1:CV300,134,FALSE)=0,0,HLOOKUP("fsXA",A1:CV300,134,FALSE)/HLOOKUP("Mins",A1:CV300,134,FALSE)* 90)</f>
      </c>
      <c r="BW134" s="25661">
        <f>5*HLOOKUP("fsXG/90",A1:CV300,134,FALSE)+3*HLOOKUP("fsXA/90",A1:CV300,134,FALSE)</f>
      </c>
      <c r="BX134" t="n" s="25662">
        <v>0.40424972772598267</v>
      </c>
      <c r="BY134" t="n" s="25663">
        <v>0.18917904794216156</v>
      </c>
      <c r="BZ134" s="25664">
        <f>5*HLOOKUP("uXG/90",A1:CV300,134,FALSE)+3*HLOOKUP("uXA/90",A1:CV300,134,FALSE)</f>
      </c>
    </row>
    <row r="135">
      <c r="A135" t="s" s="25665">
        <v>426</v>
      </c>
      <c r="B135" t="s" s="25666">
        <v>87</v>
      </c>
      <c r="C135" t="n" s="25667">
        <v>4.400000095367432</v>
      </c>
      <c r="D135" t="n" s="25668">
        <v>79.0</v>
      </c>
      <c r="E135" t="n" s="25669">
        <v>1.0</v>
      </c>
      <c r="F135" t="n" s="25670">
        <v>3.0</v>
      </c>
      <c r="G135" t="n" s="25671">
        <v>0.0</v>
      </c>
      <c r="H135" t="n" s="25672">
        <v>0.0</v>
      </c>
      <c r="I135" t="n" s="25673">
        <v>13.0</v>
      </c>
      <c r="J135" s="25674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5675">
        <v>0.0</v>
      </c>
      <c r="L135" t="n" s="25676">
        <v>0.0</v>
      </c>
      <c r="M135" t="n" s="25677">
        <v>0.0</v>
      </c>
      <c r="N135" t="n" s="25678">
        <v>0.0</v>
      </c>
      <c r="O135" t="n" s="25679">
        <v>0.0</v>
      </c>
      <c r="P135" s="25680">
        <f>IF(HLOOKUP("Shots",A1:CV300,135,FALSE)=0,0,HLOOKUP("SIB",A1:CV300,135,FALSE)/HLOOKUP("Shots",A1:CV300,135,FALSE))</f>
      </c>
      <c r="Q135" t="n" s="25681">
        <v>0.0</v>
      </c>
      <c r="R135" s="25682">
        <f>IF(HLOOKUP("Shots",A1:CV300,135,FALSE)=0,0,HLOOKUP("S6YD",A1:CV300,135,FALSE)/HLOOKUP("Shots",A1:CV300,135,FALSE))</f>
      </c>
      <c r="S135" t="n" s="25683">
        <v>0.0</v>
      </c>
      <c r="T135" s="25684">
        <f>IF(HLOOKUP("Shots",A1:CV300,135,FALSE)=0,0,HLOOKUP("Headers",A1:CV300,135,FALSE)/HLOOKUP("Shots",A1:CV300,135,FALSE))</f>
      </c>
      <c r="U135" t="n" s="25685">
        <v>0.0</v>
      </c>
      <c r="V135" s="25686">
        <f>IF(HLOOKUP("Shots",A1:CV300,135,FALSE)=0,0,HLOOKUP("SOT",A1:CV300,135,FALSE)/HLOOKUP("Shots",A1:CV300,135,FALSE))</f>
      </c>
      <c r="W135" s="25687">
        <f>IF(HLOOKUP("Shots",A1:CV300,135,FALSE)=0,0,HLOOKUP("Gs",A1:CV300,135,FALSE)/HLOOKUP("Shots",A1:CV300,135,FALSE))</f>
      </c>
      <c r="X135" t="n" s="25688">
        <v>0.0</v>
      </c>
      <c r="Y135" t="n" s="25689">
        <v>0.0</v>
      </c>
      <c r="Z135" t="n" s="25690">
        <v>0.0</v>
      </c>
      <c r="AA135" s="25691">
        <f>IF(HLOOKUP("KP",A1:CV300,135,FALSE)=0,0,HLOOKUP("As",A1:CV300,135,FALSE)/HLOOKUP("KP",A1:CV300,135,FALSE))</f>
      </c>
      <c r="AB135" s="25692"/>
      <c r="AC135" t="n" s="25693">
        <v>0.0</v>
      </c>
      <c r="AD135" t="n" s="25694">
        <v>0.0</v>
      </c>
      <c r="AE135" t="n" s="25695">
        <v>0.0</v>
      </c>
      <c r="AF135" t="n" s="25696">
        <v>0.0</v>
      </c>
      <c r="AG135" s="25697">
        <f>IF(HLOOKUP("BC",A1:CV300,135,FALSE)=0,0,HLOOKUP("Gs - BC",A1:CV300,135,FALSE)/HLOOKUP("BC",A1:CV300,135,FALSE))</f>
      </c>
      <c r="AH135" s="25698">
        <f>HLOOKUP("BC",A1:CV300,135,FALSE) - HLOOKUP("BC Miss",A1:CV300,135,FALSE)</f>
      </c>
      <c r="AI135" s="25699">
        <f>IF(HLOOKUP("Gs",A1:CV300,135,FALSE)=0,0,HLOOKUP("Gs - BC",A1:CV300,135,FALSE)/HLOOKUP("Gs",A1:CV300,135,FALSE))</f>
      </c>
      <c r="AJ135" t="n" s="25700">
        <v>0.0</v>
      </c>
      <c r="AK135" t="n" s="25701">
        <v>0.0</v>
      </c>
      <c r="AL135" s="25702">
        <f>HLOOKUP("BC",A1:CV300,135,FALSE) - (HLOOKUP("PK Gs",A1:CV300,135,FALSE) + HLOOKUP("PK Miss",A1:CV300,135,FALSE))</f>
      </c>
      <c r="AM135" s="25703">
        <f>HLOOKUP("BC Miss",A1:CV300,135,FALSE) - HLOOKUP("PK Miss",A1:CV300,135,FALSE)</f>
      </c>
      <c r="AN135" s="25704">
        <f>IF(HLOOKUP("BC - Open",A1:CV300,135,FALSE)=0,0,HLOOKUP("BC - Open Miss",A1:CV300,135,FALSE)/HLOOKUP("BC - Open",A1:CV300,135,FALSE))</f>
      </c>
      <c r="AO135" t="n" s="25705">
        <v>0.0</v>
      </c>
      <c r="AP135" s="25706">
        <f>IF(HLOOKUP("Gs",A1:CV300,135,FALSE)=0,0,HLOOKUP("GIB",A1:CV300,135,FALSE)/HLOOKUP("Gs",A1:CV300,135,FALSE))</f>
      </c>
      <c r="AQ135" t="n" s="25707">
        <v>0.0</v>
      </c>
      <c r="AR135" s="25708">
        <f>IF(HLOOKUP("Gs",A1:CV300,135,FALSE)=0,0,HLOOKUP("Gs - Open",A1:CV300,135,FALSE)/HLOOKUP("Gs",A1:CV300,135,FALSE))</f>
      </c>
      <c r="AS135" t="n" s="25709">
        <v>0.0</v>
      </c>
      <c r="AT135" t="n" s="25710">
        <v>0.0</v>
      </c>
      <c r="AU135" s="25711">
        <f>IF(HLOOKUP("Mins",A1:CV300,135,FALSE)=0,0,HLOOKUP("Pts",A1:CV300,135,FALSE)/HLOOKUP("Mins",A1:CV300,135,FALSE)* 90)</f>
      </c>
      <c r="AV135" s="25712">
        <f>IF(HLOOKUP("Apps",A1:CV300,135,FALSE)=0,0,HLOOKUP("Pts",A1:CV300,135,FALSE)/HLOOKUP("Apps",A1:CV300,135,FALSE)* 1)</f>
      </c>
      <c r="AW135" s="25713">
        <f>IF(HLOOKUP("Mins",A1:CV300,135,FALSE)=0,0,HLOOKUP("Gs",A1:CV300,135,FALSE)/HLOOKUP("Mins",A1:CV300,135,FALSE)* 90)</f>
      </c>
      <c r="AX135" s="25714">
        <f>IF(HLOOKUP("Mins",A1:CV300,135,FALSE)=0,0,HLOOKUP("Bonus",A1:CV300,135,FALSE)/HLOOKUP("Mins",A1:CV300,135,FALSE)* 90)</f>
      </c>
      <c r="AY135" s="25715">
        <f>IF(HLOOKUP("Mins",A1:CV300,135,FALSE)=0,0,HLOOKUP("BPS",A1:CV300,135,FALSE)/HLOOKUP("Mins",A1:CV300,135,FALSE)* 90)</f>
      </c>
      <c r="AZ135" s="25716">
        <f>IF(HLOOKUP("Mins",A1:CV300,135,FALSE)=0,0,HLOOKUP("Base BPS",A1:CV300,135,FALSE)/HLOOKUP("Mins",A1:CV300,135,FALSE)* 90)</f>
      </c>
      <c r="BA135" s="25717">
        <f>IF(HLOOKUP("Mins",A1:CV300,135,FALSE)=0,0,HLOOKUP("PenTchs",A1:CV300,135,FALSE)/HLOOKUP("Mins",A1:CV300,135,FALSE)* 90)</f>
      </c>
      <c r="BB135" s="25718">
        <f>IF(HLOOKUP("Mins",A1:CV300,135,FALSE)=0,0,HLOOKUP("Shots",A1:CV300,135,FALSE)/HLOOKUP("Mins",A1:CV300,135,FALSE)* 90)</f>
      </c>
      <c r="BC135" s="25719">
        <f>IF(HLOOKUP("Mins",A1:CV300,135,FALSE)=0,0,HLOOKUP("SIB",A1:CV300,135,FALSE)/HLOOKUP("Mins",A1:CV300,135,FALSE)* 90)</f>
      </c>
      <c r="BD135" s="25720">
        <f>IF(HLOOKUP("Mins",A1:CV300,135,FALSE)=0,0,HLOOKUP("S6YD",A1:CV300,135,FALSE)/HLOOKUP("Mins",A1:CV300,135,FALSE)* 90)</f>
      </c>
      <c r="BE135" s="25721">
        <f>IF(HLOOKUP("Mins",A1:CV300,135,FALSE)=0,0,HLOOKUP("Headers",A1:CV300,135,FALSE)/HLOOKUP("Mins",A1:CV300,135,FALSE)* 90)</f>
      </c>
      <c r="BF135" s="25722">
        <f>IF(HLOOKUP("Mins",A1:CV300,135,FALSE)=0,0,HLOOKUP("SOT",A1:CV300,135,FALSE)/HLOOKUP("Mins",A1:CV300,135,FALSE)* 90)</f>
      </c>
      <c r="BG135" s="25723">
        <f>IF(HLOOKUP("Mins",A1:CV300,135,FALSE)=0,0,HLOOKUP("As",A1:CV300,135,FALSE)/HLOOKUP("Mins",A1:CV300,135,FALSE)* 90)</f>
      </c>
      <c r="BH135" s="25724">
        <f>IF(HLOOKUP("Mins",A1:CV300,135,FALSE)=0,0,HLOOKUP("FPL As",A1:CV300,135,FALSE)/HLOOKUP("Mins",A1:CV300,135,FALSE)* 90)</f>
      </c>
      <c r="BI135" s="25725">
        <f>IF(HLOOKUP("Mins",A1:CV300,135,FALSE)=0,0,HLOOKUP("BC Created",A1:CV300,135,FALSE)/HLOOKUP("Mins",A1:CV300,135,FALSE)* 90)</f>
      </c>
      <c r="BJ135" s="25726">
        <f>IF(HLOOKUP("Mins",A1:CV300,135,FALSE)=0,0,HLOOKUP("KP",A1:CV300,135,FALSE)/HLOOKUP("Mins",A1:CV300,135,FALSE)* 90)</f>
      </c>
      <c r="BK135" s="25727">
        <f>IF(HLOOKUP("Mins",A1:CV300,135,FALSE)=0,0,HLOOKUP("BC",A1:CV300,135,FALSE)/HLOOKUP("Mins",A1:CV300,135,FALSE)* 90)</f>
      </c>
      <c r="BL135" s="25728">
        <f>IF(HLOOKUP("Mins",A1:CV300,135,FALSE)=0,0,HLOOKUP("BC Miss",A1:CV300,135,FALSE)/HLOOKUP("Mins",A1:CV300,135,FALSE)* 90)</f>
      </c>
      <c r="BM135" s="25729">
        <f>IF(HLOOKUP("Mins",A1:CV300,135,FALSE)=0,0,HLOOKUP("Gs - BC",A1:CV300,135,FALSE)/HLOOKUP("Mins",A1:CV300,135,FALSE)* 90)</f>
      </c>
      <c r="BN135" s="25730">
        <f>IF(HLOOKUP("Mins",A1:CV300,135,FALSE)=0,0,HLOOKUP("GIB",A1:CV300,135,FALSE)/HLOOKUP("Mins",A1:CV300,135,FALSE)* 90)</f>
      </c>
      <c r="BO135" s="25731">
        <f>IF(HLOOKUP("Mins",A1:CV300,135,FALSE)=0,0,HLOOKUP("Gs - Open",A1:CV300,135,FALSE)/HLOOKUP("Mins",A1:CV300,135,FALSE)* 90)</f>
      </c>
      <c r="BP135" s="25732">
        <f>IF(HLOOKUP("Mins",A1:CV300,135,FALSE)=0,0,HLOOKUP("ICT Index",A1:CV300,135,FALSE)/HLOOKUP("Mins",A1:CV300,135,FALSE)* 90)</f>
      </c>
      <c r="BQ135" s="25733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5734">
        <f>0.0885*HLOOKUP("KP/90",A1:CV300,135,FALSE)</f>
      </c>
      <c r="BS135" s="25735">
        <f>5*HLOOKUP("xG/90",A1:CV300,135,FALSE)+3*HLOOKUP("xA/90",A1:CV300,135,FALSE)</f>
      </c>
      <c r="BT135" s="25736">
        <f>HLOOKUP("xPts/90",A1:CV300,135,FALSE)-(5*0.75*(HLOOKUP("PK Gs",A1:CV300,135,FALSE)+HLOOKUP("PK Miss",A1:CV300,135,FALSE))*90/HLOOKUP("Mins",A1:CV300,135,FALSE))</f>
      </c>
      <c r="BU135" s="25737">
        <f>IF(HLOOKUP("Mins",A1:CV300,135,FALSE)=0,0,HLOOKUP("fsXG",A1:CV300,135,FALSE)/HLOOKUP("Mins",A1:CV300,135,FALSE)* 90)</f>
      </c>
      <c r="BV135" s="25738">
        <f>IF(HLOOKUP("Mins",A1:CV300,135,FALSE)=0,0,HLOOKUP("fsXA",A1:CV300,135,FALSE)/HLOOKUP("Mins",A1:CV300,135,FALSE)* 90)</f>
      </c>
      <c r="BW135" s="25739">
        <f>5*HLOOKUP("fsXG/90",A1:CV300,135,FALSE)+3*HLOOKUP("fsXA/90",A1:CV300,135,FALSE)</f>
      </c>
      <c r="BX135" t="n" s="25740">
        <v>0.0</v>
      </c>
      <c r="BY135" t="n" s="25741">
        <v>0.0</v>
      </c>
      <c r="BZ135" s="25742">
        <f>5*HLOOKUP("uXG/90",A1:CV300,135,FALSE)+3*HLOOKUP("uXA/90",A1:CV300,135,FALSE)</f>
      </c>
    </row>
    <row r="136">
      <c r="A136" t="s" s="25743">
        <v>427</v>
      </c>
      <c r="B136" t="s" s="25744">
        <v>80</v>
      </c>
      <c r="C136" t="n" s="25745">
        <v>4.699999809265137</v>
      </c>
      <c r="D136" t="n" s="25746">
        <v>486.0</v>
      </c>
      <c r="E136" t="n" s="25747">
        <v>6.0</v>
      </c>
      <c r="F136" t="n" s="25748">
        <v>35.0</v>
      </c>
      <c r="G136" t="n" s="25749">
        <v>0.0</v>
      </c>
      <c r="H136" t="n" s="25750">
        <v>0.0</v>
      </c>
      <c r="I136" t="n" s="25751">
        <v>189.0</v>
      </c>
      <c r="J136" s="25752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5753">
        <v>0.0</v>
      </c>
      <c r="L136" t="n" s="25754">
        <v>3.0</v>
      </c>
      <c r="M136" t="n" s="25755">
        <v>3.0</v>
      </c>
      <c r="N136" t="n" s="25756">
        <v>4.0</v>
      </c>
      <c r="O136" t="n" s="25757">
        <v>2.0</v>
      </c>
      <c r="P136" s="25758">
        <f>IF(HLOOKUP("Shots",A1:CV300,136,FALSE)=0,0,HLOOKUP("SIB",A1:CV300,136,FALSE)/HLOOKUP("Shots",A1:CV300,136,FALSE))</f>
      </c>
      <c r="Q136" t="n" s="25759">
        <v>0.0</v>
      </c>
      <c r="R136" s="25760">
        <f>IF(HLOOKUP("Shots",A1:CV300,136,FALSE)=0,0,HLOOKUP("S6YD",A1:CV300,136,FALSE)/HLOOKUP("Shots",A1:CV300,136,FALSE))</f>
      </c>
      <c r="S136" t="n" s="25761">
        <v>0.0</v>
      </c>
      <c r="T136" s="25762">
        <f>IF(HLOOKUP("Shots",A1:CV300,136,FALSE)=0,0,HLOOKUP("Headers",A1:CV300,136,FALSE)/HLOOKUP("Shots",A1:CV300,136,FALSE))</f>
      </c>
      <c r="U136" t="n" s="25763">
        <v>0.0</v>
      </c>
      <c r="V136" s="25764">
        <f>IF(HLOOKUP("Shots",A1:CV300,136,FALSE)=0,0,HLOOKUP("SOT",A1:CV300,136,FALSE)/HLOOKUP("Shots",A1:CV300,136,FALSE))</f>
      </c>
      <c r="W136" s="25765">
        <f>IF(HLOOKUP("Shots",A1:CV300,136,FALSE)=0,0,HLOOKUP("Gs",A1:CV300,136,FALSE)/HLOOKUP("Shots",A1:CV300,136,FALSE))</f>
      </c>
      <c r="X136" t="n" s="25766">
        <v>0.0</v>
      </c>
      <c r="Y136" t="n" s="25767">
        <v>0.0</v>
      </c>
      <c r="Z136" t="n" s="25768">
        <v>4.0</v>
      </c>
      <c r="AA136" s="25769">
        <f>IF(HLOOKUP("KP",A1:CV300,136,FALSE)=0,0,HLOOKUP("As",A1:CV300,136,FALSE)/HLOOKUP("KP",A1:CV300,136,FALSE))</f>
      </c>
      <c r="AB136" s="25770"/>
      <c r="AC136" t="n" s="25771">
        <v>0.0</v>
      </c>
      <c r="AD136" t="n" s="25772">
        <v>0.0</v>
      </c>
      <c r="AE136" t="n" s="25773">
        <v>0.0</v>
      </c>
      <c r="AF136" t="n" s="25774">
        <v>0.0</v>
      </c>
      <c r="AG136" s="25775">
        <f>IF(HLOOKUP("BC",A1:CV300,136,FALSE)=0,0,HLOOKUP("Gs - BC",A1:CV300,136,FALSE)/HLOOKUP("BC",A1:CV300,136,FALSE))</f>
      </c>
      <c r="AH136" s="25776">
        <f>HLOOKUP("BC",A1:CV300,136,FALSE) - HLOOKUP("BC Miss",A1:CV300,136,FALSE)</f>
      </c>
      <c r="AI136" s="25777">
        <f>IF(HLOOKUP("Gs",A1:CV300,136,FALSE)=0,0,HLOOKUP("Gs - BC",A1:CV300,136,FALSE)/HLOOKUP("Gs",A1:CV300,136,FALSE))</f>
      </c>
      <c r="AJ136" t="n" s="25778">
        <v>0.0</v>
      </c>
      <c r="AK136" t="n" s="25779">
        <v>0.0</v>
      </c>
      <c r="AL136" s="25780">
        <f>HLOOKUP("BC",A1:CV300,136,FALSE) - (HLOOKUP("PK Gs",A1:CV300,136,FALSE) + HLOOKUP("PK Miss",A1:CV300,136,FALSE))</f>
      </c>
      <c r="AM136" s="25781">
        <f>HLOOKUP("BC Miss",A1:CV300,136,FALSE) - HLOOKUP("PK Miss",A1:CV300,136,FALSE)</f>
      </c>
      <c r="AN136" s="25782">
        <f>IF(HLOOKUP("BC - Open",A1:CV300,136,FALSE)=0,0,HLOOKUP("BC - Open Miss",A1:CV300,136,FALSE)/HLOOKUP("BC - Open",A1:CV300,136,FALSE))</f>
      </c>
      <c r="AO136" t="n" s="25783">
        <v>0.0</v>
      </c>
      <c r="AP136" s="25784">
        <f>IF(HLOOKUP("Gs",A1:CV300,136,FALSE)=0,0,HLOOKUP("GIB",A1:CV300,136,FALSE)/HLOOKUP("Gs",A1:CV300,136,FALSE))</f>
      </c>
      <c r="AQ136" t="n" s="25785">
        <v>0.0</v>
      </c>
      <c r="AR136" s="25786">
        <f>IF(HLOOKUP("Gs",A1:CV300,136,FALSE)=0,0,HLOOKUP("Gs - Open",A1:CV300,136,FALSE)/HLOOKUP("Gs",A1:CV300,136,FALSE))</f>
      </c>
      <c r="AS136" t="n" s="25787">
        <v>0.18</v>
      </c>
      <c r="AT136" t="n" s="25788">
        <v>0.15</v>
      </c>
      <c r="AU136" s="25789">
        <f>IF(HLOOKUP("Mins",A1:CV300,136,FALSE)=0,0,HLOOKUP("Pts",A1:CV300,136,FALSE)/HLOOKUP("Mins",A1:CV300,136,FALSE)* 90)</f>
      </c>
      <c r="AV136" s="25790">
        <f>IF(HLOOKUP("Apps",A1:CV300,136,FALSE)=0,0,HLOOKUP("Pts",A1:CV300,136,FALSE)/HLOOKUP("Apps",A1:CV300,136,FALSE)* 1)</f>
      </c>
      <c r="AW136" s="25791">
        <f>IF(HLOOKUP("Mins",A1:CV300,136,FALSE)=0,0,HLOOKUP("Gs",A1:CV300,136,FALSE)/HLOOKUP("Mins",A1:CV300,136,FALSE)* 90)</f>
      </c>
      <c r="AX136" s="25792">
        <f>IF(HLOOKUP("Mins",A1:CV300,136,FALSE)=0,0,HLOOKUP("Bonus",A1:CV300,136,FALSE)/HLOOKUP("Mins",A1:CV300,136,FALSE)* 90)</f>
      </c>
      <c r="AY136" s="25793">
        <f>IF(HLOOKUP("Mins",A1:CV300,136,FALSE)=0,0,HLOOKUP("BPS",A1:CV300,136,FALSE)/HLOOKUP("Mins",A1:CV300,136,FALSE)* 90)</f>
      </c>
      <c r="AZ136" s="25794">
        <f>IF(HLOOKUP("Mins",A1:CV300,136,FALSE)=0,0,HLOOKUP("Base BPS",A1:CV300,136,FALSE)/HLOOKUP("Mins",A1:CV300,136,FALSE)* 90)</f>
      </c>
      <c r="BA136" s="25795">
        <f>IF(HLOOKUP("Mins",A1:CV300,136,FALSE)=0,0,HLOOKUP("PenTchs",A1:CV300,136,FALSE)/HLOOKUP("Mins",A1:CV300,136,FALSE)* 90)</f>
      </c>
      <c r="BB136" s="25796">
        <f>IF(HLOOKUP("Mins",A1:CV300,136,FALSE)=0,0,HLOOKUP("Shots",A1:CV300,136,FALSE)/HLOOKUP("Mins",A1:CV300,136,FALSE)* 90)</f>
      </c>
      <c r="BC136" s="25797">
        <f>IF(HLOOKUP("Mins",A1:CV300,136,FALSE)=0,0,HLOOKUP("SIB",A1:CV300,136,FALSE)/HLOOKUP("Mins",A1:CV300,136,FALSE)* 90)</f>
      </c>
      <c r="BD136" s="25798">
        <f>IF(HLOOKUP("Mins",A1:CV300,136,FALSE)=0,0,HLOOKUP("S6YD",A1:CV300,136,FALSE)/HLOOKUP("Mins",A1:CV300,136,FALSE)* 90)</f>
      </c>
      <c r="BE136" s="25799">
        <f>IF(HLOOKUP("Mins",A1:CV300,136,FALSE)=0,0,HLOOKUP("Headers",A1:CV300,136,FALSE)/HLOOKUP("Mins",A1:CV300,136,FALSE)* 90)</f>
      </c>
      <c r="BF136" s="25800">
        <f>IF(HLOOKUP("Mins",A1:CV300,136,FALSE)=0,0,HLOOKUP("SOT",A1:CV300,136,FALSE)/HLOOKUP("Mins",A1:CV300,136,FALSE)* 90)</f>
      </c>
      <c r="BG136" s="25801">
        <f>IF(HLOOKUP("Mins",A1:CV300,136,FALSE)=0,0,HLOOKUP("As",A1:CV300,136,FALSE)/HLOOKUP("Mins",A1:CV300,136,FALSE)* 90)</f>
      </c>
      <c r="BH136" s="25802">
        <f>IF(HLOOKUP("Mins",A1:CV300,136,FALSE)=0,0,HLOOKUP("FPL As",A1:CV300,136,FALSE)/HLOOKUP("Mins",A1:CV300,136,FALSE)* 90)</f>
      </c>
      <c r="BI136" s="25803">
        <f>IF(HLOOKUP("Mins",A1:CV300,136,FALSE)=0,0,HLOOKUP("BC Created",A1:CV300,136,FALSE)/HLOOKUP("Mins",A1:CV300,136,FALSE)* 90)</f>
      </c>
      <c r="BJ136" s="25804">
        <f>IF(HLOOKUP("Mins",A1:CV300,136,FALSE)=0,0,HLOOKUP("KP",A1:CV300,136,FALSE)/HLOOKUP("Mins",A1:CV300,136,FALSE)* 90)</f>
      </c>
      <c r="BK136" s="25805">
        <f>IF(HLOOKUP("Mins",A1:CV300,136,FALSE)=0,0,HLOOKUP("BC",A1:CV300,136,FALSE)/HLOOKUP("Mins",A1:CV300,136,FALSE)* 90)</f>
      </c>
      <c r="BL136" s="25806">
        <f>IF(HLOOKUP("Mins",A1:CV300,136,FALSE)=0,0,HLOOKUP("BC Miss",A1:CV300,136,FALSE)/HLOOKUP("Mins",A1:CV300,136,FALSE)* 90)</f>
      </c>
      <c r="BM136" s="25807">
        <f>IF(HLOOKUP("Mins",A1:CV300,136,FALSE)=0,0,HLOOKUP("Gs - BC",A1:CV300,136,FALSE)/HLOOKUP("Mins",A1:CV300,136,FALSE)* 90)</f>
      </c>
      <c r="BN136" s="25808">
        <f>IF(HLOOKUP("Mins",A1:CV300,136,FALSE)=0,0,HLOOKUP("GIB",A1:CV300,136,FALSE)/HLOOKUP("Mins",A1:CV300,136,FALSE)* 90)</f>
      </c>
      <c r="BO136" s="25809">
        <f>IF(HLOOKUP("Mins",A1:CV300,136,FALSE)=0,0,HLOOKUP("Gs - Open",A1:CV300,136,FALSE)/HLOOKUP("Mins",A1:CV300,136,FALSE)* 90)</f>
      </c>
      <c r="BP136" s="25810">
        <f>IF(HLOOKUP("Mins",A1:CV300,136,FALSE)=0,0,HLOOKUP("ICT Index",A1:CV300,136,FALSE)/HLOOKUP("Mins",A1:CV300,136,FALSE)* 90)</f>
      </c>
      <c r="BQ136" s="25811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5812">
        <f>0.0885*HLOOKUP("KP/90",A1:CV300,136,FALSE)</f>
      </c>
      <c r="BS136" s="25813">
        <f>5*HLOOKUP("xG/90",A1:CV300,136,FALSE)+3*HLOOKUP("xA/90",A1:CV300,136,FALSE)</f>
      </c>
      <c r="BT136" s="25814">
        <f>HLOOKUP("xPts/90",A1:CV300,136,FALSE)-(5*0.75*(HLOOKUP("PK Gs",A1:CV300,136,FALSE)+HLOOKUP("PK Miss",A1:CV300,136,FALSE))*90/HLOOKUP("Mins",A1:CV300,136,FALSE))</f>
      </c>
      <c r="BU136" s="25815">
        <f>IF(HLOOKUP("Mins",A1:CV300,136,FALSE)=0,0,HLOOKUP("fsXG",A1:CV300,136,FALSE)/HLOOKUP("Mins",A1:CV300,136,FALSE)* 90)</f>
      </c>
      <c r="BV136" s="25816">
        <f>IF(HLOOKUP("Mins",A1:CV300,136,FALSE)=0,0,HLOOKUP("fsXA",A1:CV300,136,FALSE)/HLOOKUP("Mins",A1:CV300,136,FALSE)* 90)</f>
      </c>
      <c r="BW136" s="25817">
        <f>5*HLOOKUP("fsXG/90",A1:CV300,136,FALSE)+3*HLOOKUP("fsXA/90",A1:CV300,136,FALSE)</f>
      </c>
      <c r="BX136" t="n" s="25818">
        <v>0.04023624584078789</v>
      </c>
      <c r="BY136" t="n" s="25819">
        <v>0.02464081160724163</v>
      </c>
      <c r="BZ136" s="25820">
        <f>5*HLOOKUP("uXG/90",A1:CV300,136,FALSE)+3*HLOOKUP("uXA/90",A1:CV300,136,FALSE)</f>
      </c>
    </row>
    <row r="137">
      <c r="A137" t="s" s="25821">
        <v>428</v>
      </c>
      <c r="B137" t="s" s="25822">
        <v>144</v>
      </c>
      <c r="C137" t="n" s="25823">
        <v>5.300000190734863</v>
      </c>
      <c r="D137" t="n" s="25824">
        <v>540.0</v>
      </c>
      <c r="E137" t="n" s="25825">
        <v>6.0</v>
      </c>
      <c r="F137" t="n" s="25826">
        <v>31.0</v>
      </c>
      <c r="G137" t="n" s="25827">
        <v>0.0</v>
      </c>
      <c r="H137" t="n" s="25828">
        <v>0.0</v>
      </c>
      <c r="I137" t="n" s="25829">
        <v>212.0</v>
      </c>
      <c r="J137" s="25830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5831">
        <v>0.0</v>
      </c>
      <c r="L137" t="n" s="25832">
        <v>2.0</v>
      </c>
      <c r="M137" t="n" s="25833">
        <v>9.0</v>
      </c>
      <c r="N137" t="n" s="25834">
        <v>10.0</v>
      </c>
      <c r="O137" t="n" s="25835">
        <v>1.0</v>
      </c>
      <c r="P137" s="25836">
        <f>IF(HLOOKUP("Shots",A1:CV300,137,FALSE)=0,0,HLOOKUP("SIB",A1:CV300,137,FALSE)/HLOOKUP("Shots",A1:CV300,137,FALSE))</f>
      </c>
      <c r="Q137" t="n" s="25837">
        <v>0.0</v>
      </c>
      <c r="R137" s="25838">
        <f>IF(HLOOKUP("Shots",A1:CV300,137,FALSE)=0,0,HLOOKUP("S6YD",A1:CV300,137,FALSE)/HLOOKUP("Shots",A1:CV300,137,FALSE))</f>
      </c>
      <c r="S137" t="n" s="25839">
        <v>0.0</v>
      </c>
      <c r="T137" s="25840">
        <f>IF(HLOOKUP("Shots",A1:CV300,137,FALSE)=0,0,HLOOKUP("Headers",A1:CV300,137,FALSE)/HLOOKUP("Shots",A1:CV300,137,FALSE))</f>
      </c>
      <c r="U137" t="n" s="25841">
        <v>2.0</v>
      </c>
      <c r="V137" s="25842">
        <f>IF(HLOOKUP("Shots",A1:CV300,137,FALSE)=0,0,HLOOKUP("SOT",A1:CV300,137,FALSE)/HLOOKUP("Shots",A1:CV300,137,FALSE))</f>
      </c>
      <c r="W137" s="25843">
        <f>IF(HLOOKUP("Shots",A1:CV300,137,FALSE)=0,0,HLOOKUP("Gs",A1:CV300,137,FALSE)/HLOOKUP("Shots",A1:CV300,137,FALSE))</f>
      </c>
      <c r="X137" t="n" s="25844">
        <v>0.0</v>
      </c>
      <c r="Y137" t="n" s="25845">
        <v>0.0</v>
      </c>
      <c r="Z137" t="n" s="25846">
        <v>11.0</v>
      </c>
      <c r="AA137" s="25847">
        <f>IF(HLOOKUP("KP",A1:CV300,137,FALSE)=0,0,HLOOKUP("As",A1:CV300,137,FALSE)/HLOOKUP("KP",A1:CV300,137,FALSE))</f>
      </c>
      <c r="AB137" s="25848"/>
      <c r="AC137" t="n" s="25849">
        <v>0.0</v>
      </c>
      <c r="AD137" t="n" s="25850">
        <v>1.0</v>
      </c>
      <c r="AE137" t="n" s="25851">
        <v>0.0</v>
      </c>
      <c r="AF137" t="n" s="25852">
        <v>0.0</v>
      </c>
      <c r="AG137" s="25853">
        <f>IF(HLOOKUP("BC",A1:CV300,137,FALSE)=0,0,HLOOKUP("Gs - BC",A1:CV300,137,FALSE)/HLOOKUP("BC",A1:CV300,137,FALSE))</f>
      </c>
      <c r="AH137" s="25854">
        <f>HLOOKUP("BC",A1:CV300,137,FALSE) - HLOOKUP("BC Miss",A1:CV300,137,FALSE)</f>
      </c>
      <c r="AI137" s="25855">
        <f>IF(HLOOKUP("Gs",A1:CV300,137,FALSE)=0,0,HLOOKUP("Gs - BC",A1:CV300,137,FALSE)/HLOOKUP("Gs",A1:CV300,137,FALSE))</f>
      </c>
      <c r="AJ137" t="n" s="25856">
        <v>0.0</v>
      </c>
      <c r="AK137" t="n" s="25857">
        <v>0.0</v>
      </c>
      <c r="AL137" s="25858">
        <f>HLOOKUP("BC",A1:CV300,137,FALSE) - (HLOOKUP("PK Gs",A1:CV300,137,FALSE) + HLOOKUP("PK Miss",A1:CV300,137,FALSE))</f>
      </c>
      <c r="AM137" s="25859">
        <f>HLOOKUP("BC Miss",A1:CV300,137,FALSE) - HLOOKUP("PK Miss",A1:CV300,137,FALSE)</f>
      </c>
      <c r="AN137" s="25860">
        <f>IF(HLOOKUP("BC - Open",A1:CV300,137,FALSE)=0,0,HLOOKUP("BC - Open Miss",A1:CV300,137,FALSE)/HLOOKUP("BC - Open",A1:CV300,137,FALSE))</f>
      </c>
      <c r="AO137" t="n" s="25861">
        <v>0.0</v>
      </c>
      <c r="AP137" s="25862">
        <f>IF(HLOOKUP("Gs",A1:CV300,137,FALSE)=0,0,HLOOKUP("GIB",A1:CV300,137,FALSE)/HLOOKUP("Gs",A1:CV300,137,FALSE))</f>
      </c>
      <c r="AQ137" t="n" s="25863">
        <v>0.0</v>
      </c>
      <c r="AR137" s="25864">
        <f>IF(HLOOKUP("Gs",A1:CV300,137,FALSE)=0,0,HLOOKUP("Gs - Open",A1:CV300,137,FALSE)/HLOOKUP("Gs",A1:CV300,137,FALSE))</f>
      </c>
      <c r="AS137" t="n" s="25865">
        <v>0.4</v>
      </c>
      <c r="AT137" t="n" s="25866">
        <v>0.59</v>
      </c>
      <c r="AU137" s="25867">
        <f>IF(HLOOKUP("Mins",A1:CV300,137,FALSE)=0,0,HLOOKUP("Pts",A1:CV300,137,FALSE)/HLOOKUP("Mins",A1:CV300,137,FALSE)* 90)</f>
      </c>
      <c r="AV137" s="25868">
        <f>IF(HLOOKUP("Apps",A1:CV300,137,FALSE)=0,0,HLOOKUP("Pts",A1:CV300,137,FALSE)/HLOOKUP("Apps",A1:CV300,137,FALSE)* 1)</f>
      </c>
      <c r="AW137" s="25869">
        <f>IF(HLOOKUP("Mins",A1:CV300,137,FALSE)=0,0,HLOOKUP("Gs",A1:CV300,137,FALSE)/HLOOKUP("Mins",A1:CV300,137,FALSE)* 90)</f>
      </c>
      <c r="AX137" s="25870">
        <f>IF(HLOOKUP("Mins",A1:CV300,137,FALSE)=0,0,HLOOKUP("Bonus",A1:CV300,137,FALSE)/HLOOKUP("Mins",A1:CV300,137,FALSE)* 90)</f>
      </c>
      <c r="AY137" s="25871">
        <f>IF(HLOOKUP("Mins",A1:CV300,137,FALSE)=0,0,HLOOKUP("BPS",A1:CV300,137,FALSE)/HLOOKUP("Mins",A1:CV300,137,FALSE)* 90)</f>
      </c>
      <c r="AZ137" s="25872">
        <f>IF(HLOOKUP("Mins",A1:CV300,137,FALSE)=0,0,HLOOKUP("Base BPS",A1:CV300,137,FALSE)/HLOOKUP("Mins",A1:CV300,137,FALSE)* 90)</f>
      </c>
      <c r="BA137" s="25873">
        <f>IF(HLOOKUP("Mins",A1:CV300,137,FALSE)=0,0,HLOOKUP("PenTchs",A1:CV300,137,FALSE)/HLOOKUP("Mins",A1:CV300,137,FALSE)* 90)</f>
      </c>
      <c r="BB137" s="25874">
        <f>IF(HLOOKUP("Mins",A1:CV300,137,FALSE)=0,0,HLOOKUP("Shots",A1:CV300,137,FALSE)/HLOOKUP("Mins",A1:CV300,137,FALSE)* 90)</f>
      </c>
      <c r="BC137" s="25875">
        <f>IF(HLOOKUP("Mins",A1:CV300,137,FALSE)=0,0,HLOOKUP("SIB",A1:CV300,137,FALSE)/HLOOKUP("Mins",A1:CV300,137,FALSE)* 90)</f>
      </c>
      <c r="BD137" s="25876">
        <f>IF(HLOOKUP("Mins",A1:CV300,137,FALSE)=0,0,HLOOKUP("S6YD",A1:CV300,137,FALSE)/HLOOKUP("Mins",A1:CV300,137,FALSE)* 90)</f>
      </c>
      <c r="BE137" s="25877">
        <f>IF(HLOOKUP("Mins",A1:CV300,137,FALSE)=0,0,HLOOKUP("Headers",A1:CV300,137,FALSE)/HLOOKUP("Mins",A1:CV300,137,FALSE)* 90)</f>
      </c>
      <c r="BF137" s="25878">
        <f>IF(HLOOKUP("Mins",A1:CV300,137,FALSE)=0,0,HLOOKUP("SOT",A1:CV300,137,FALSE)/HLOOKUP("Mins",A1:CV300,137,FALSE)* 90)</f>
      </c>
      <c r="BG137" s="25879">
        <f>IF(HLOOKUP("Mins",A1:CV300,137,FALSE)=0,0,HLOOKUP("As",A1:CV300,137,FALSE)/HLOOKUP("Mins",A1:CV300,137,FALSE)* 90)</f>
      </c>
      <c r="BH137" s="25880">
        <f>IF(HLOOKUP("Mins",A1:CV300,137,FALSE)=0,0,HLOOKUP("FPL As",A1:CV300,137,FALSE)/HLOOKUP("Mins",A1:CV300,137,FALSE)* 90)</f>
      </c>
      <c r="BI137" s="25881">
        <f>IF(HLOOKUP("Mins",A1:CV300,137,FALSE)=0,0,HLOOKUP("BC Created",A1:CV300,137,FALSE)/HLOOKUP("Mins",A1:CV300,137,FALSE)* 90)</f>
      </c>
      <c r="BJ137" s="25882">
        <f>IF(HLOOKUP("Mins",A1:CV300,137,FALSE)=0,0,HLOOKUP("KP",A1:CV300,137,FALSE)/HLOOKUP("Mins",A1:CV300,137,FALSE)* 90)</f>
      </c>
      <c r="BK137" s="25883">
        <f>IF(HLOOKUP("Mins",A1:CV300,137,FALSE)=0,0,HLOOKUP("BC",A1:CV300,137,FALSE)/HLOOKUP("Mins",A1:CV300,137,FALSE)* 90)</f>
      </c>
      <c r="BL137" s="25884">
        <f>IF(HLOOKUP("Mins",A1:CV300,137,FALSE)=0,0,HLOOKUP("BC Miss",A1:CV300,137,FALSE)/HLOOKUP("Mins",A1:CV300,137,FALSE)* 90)</f>
      </c>
      <c r="BM137" s="25885">
        <f>IF(HLOOKUP("Mins",A1:CV300,137,FALSE)=0,0,HLOOKUP("Gs - BC",A1:CV300,137,FALSE)/HLOOKUP("Mins",A1:CV300,137,FALSE)* 90)</f>
      </c>
      <c r="BN137" s="25886">
        <f>IF(HLOOKUP("Mins",A1:CV300,137,FALSE)=0,0,HLOOKUP("GIB",A1:CV300,137,FALSE)/HLOOKUP("Mins",A1:CV300,137,FALSE)* 90)</f>
      </c>
      <c r="BO137" s="25887">
        <f>IF(HLOOKUP("Mins",A1:CV300,137,FALSE)=0,0,HLOOKUP("Gs - Open",A1:CV300,137,FALSE)/HLOOKUP("Mins",A1:CV300,137,FALSE)* 90)</f>
      </c>
      <c r="BP137" s="25888">
        <f>IF(HLOOKUP("Mins",A1:CV300,137,FALSE)=0,0,HLOOKUP("ICT Index",A1:CV300,137,FALSE)/HLOOKUP("Mins",A1:CV300,137,FALSE)* 90)</f>
      </c>
      <c r="BQ137" s="25889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5890">
        <f>0.0885*HLOOKUP("KP/90",A1:CV300,137,FALSE)</f>
      </c>
      <c r="BS137" s="25891">
        <f>5*HLOOKUP("xG/90",A1:CV300,137,FALSE)+3*HLOOKUP("xA/90",A1:CV300,137,FALSE)</f>
      </c>
      <c r="BT137" s="25892">
        <f>HLOOKUP("xPts/90",A1:CV300,137,FALSE)-(5*0.75*(HLOOKUP("PK Gs",A1:CV300,137,FALSE)+HLOOKUP("PK Miss",A1:CV300,137,FALSE))*90/HLOOKUP("Mins",A1:CV300,137,FALSE))</f>
      </c>
      <c r="BU137" s="25893">
        <f>IF(HLOOKUP("Mins",A1:CV300,137,FALSE)=0,0,HLOOKUP("fsXG",A1:CV300,137,FALSE)/HLOOKUP("Mins",A1:CV300,137,FALSE)* 90)</f>
      </c>
      <c r="BV137" s="25894">
        <f>IF(HLOOKUP("Mins",A1:CV300,137,FALSE)=0,0,HLOOKUP("fsXA",A1:CV300,137,FALSE)/HLOOKUP("Mins",A1:CV300,137,FALSE)* 90)</f>
      </c>
      <c r="BW137" s="25895">
        <f>5*HLOOKUP("fsXG/90",A1:CV300,137,FALSE)+3*HLOOKUP("fsXA/90",A1:CV300,137,FALSE)</f>
      </c>
      <c r="BX137" t="n" s="25896">
        <v>0.05950426682829857</v>
      </c>
      <c r="BY137" t="n" s="25897">
        <v>0.11276886612176895</v>
      </c>
      <c r="BZ137" s="25898">
        <f>5*HLOOKUP("uXG/90",A1:CV300,137,FALSE)+3*HLOOKUP("uXA/90",A1:CV300,137,FALSE)</f>
      </c>
    </row>
    <row r="138">
      <c r="A138" t="s" s="25899">
        <v>429</v>
      </c>
      <c r="B138" t="s" s="25900">
        <v>92</v>
      </c>
      <c r="C138" t="n" s="25901">
        <v>4.800000190734863</v>
      </c>
      <c r="D138" t="n" s="25902">
        <v>419.0</v>
      </c>
      <c r="E138" t="n" s="25903">
        <v>5.0</v>
      </c>
      <c r="F138" t="n" s="25904">
        <v>35.0</v>
      </c>
      <c r="G138" t="n" s="25905">
        <v>0.0</v>
      </c>
      <c r="H138" t="n" s="25906">
        <v>2.0</v>
      </c>
      <c r="I138" t="n" s="25907">
        <v>227.0</v>
      </c>
      <c r="J138" s="25908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5909">
        <v>0.0</v>
      </c>
      <c r="L138" t="n" s="25910">
        <v>3.0</v>
      </c>
      <c r="M138" t="n" s="25911">
        <v>1.0</v>
      </c>
      <c r="N138" t="n" s="25912">
        <v>5.0</v>
      </c>
      <c r="O138" t="n" s="25913">
        <v>0.0</v>
      </c>
      <c r="P138" s="25914">
        <f>IF(HLOOKUP("Shots",A1:CV300,138,FALSE)=0,0,HLOOKUP("SIB",A1:CV300,138,FALSE)/HLOOKUP("Shots",A1:CV300,138,FALSE))</f>
      </c>
      <c r="Q138" t="n" s="25915">
        <v>0.0</v>
      </c>
      <c r="R138" s="25916">
        <f>IF(HLOOKUP("Shots",A1:CV300,138,FALSE)=0,0,HLOOKUP("S6YD",A1:CV300,138,FALSE)/HLOOKUP("Shots",A1:CV300,138,FALSE))</f>
      </c>
      <c r="S138" t="n" s="25917">
        <v>0.0</v>
      </c>
      <c r="T138" s="25918">
        <f>IF(HLOOKUP("Shots",A1:CV300,138,FALSE)=0,0,HLOOKUP("Headers",A1:CV300,138,FALSE)/HLOOKUP("Shots",A1:CV300,138,FALSE))</f>
      </c>
      <c r="U138" t="n" s="25919">
        <v>0.0</v>
      </c>
      <c r="V138" s="25920">
        <f>IF(HLOOKUP("Shots",A1:CV300,138,FALSE)=0,0,HLOOKUP("SOT",A1:CV300,138,FALSE)/HLOOKUP("Shots",A1:CV300,138,FALSE))</f>
      </c>
      <c r="W138" s="25921">
        <f>IF(HLOOKUP("Shots",A1:CV300,138,FALSE)=0,0,HLOOKUP("Gs",A1:CV300,138,FALSE)/HLOOKUP("Shots",A1:CV300,138,FALSE))</f>
      </c>
      <c r="X138" t="n" s="25922">
        <v>1.0</v>
      </c>
      <c r="Y138" t="n" s="25923">
        <v>1.0</v>
      </c>
      <c r="Z138" t="n" s="25924">
        <v>4.0</v>
      </c>
      <c r="AA138" s="25925">
        <f>IF(HLOOKUP("KP",A1:CV300,138,FALSE)=0,0,HLOOKUP("As",A1:CV300,138,FALSE)/HLOOKUP("KP",A1:CV300,138,FALSE))</f>
      </c>
      <c r="AB138" s="25926"/>
      <c r="AC138" t="n" s="25927">
        <v>50.0</v>
      </c>
      <c r="AD138" t="n" s="25928">
        <v>1.0</v>
      </c>
      <c r="AE138" t="n" s="25929">
        <v>0.0</v>
      </c>
      <c r="AF138" t="n" s="25930">
        <v>0.0</v>
      </c>
      <c r="AG138" s="25931">
        <f>IF(HLOOKUP("BC",A1:CV300,138,FALSE)=0,0,HLOOKUP("Gs - BC",A1:CV300,138,FALSE)/HLOOKUP("BC",A1:CV300,138,FALSE))</f>
      </c>
      <c r="AH138" s="25932">
        <f>HLOOKUP("BC",A1:CV300,138,FALSE) - HLOOKUP("BC Miss",A1:CV300,138,FALSE)</f>
      </c>
      <c r="AI138" s="25933">
        <f>IF(HLOOKUP("Gs",A1:CV300,138,FALSE)=0,0,HLOOKUP("Gs - BC",A1:CV300,138,FALSE)/HLOOKUP("Gs",A1:CV300,138,FALSE))</f>
      </c>
      <c r="AJ138" t="n" s="25934">
        <v>0.0</v>
      </c>
      <c r="AK138" t="n" s="25935">
        <v>0.0</v>
      </c>
      <c r="AL138" s="25936">
        <f>HLOOKUP("BC",A1:CV300,138,FALSE) - (HLOOKUP("PK Gs",A1:CV300,138,FALSE) + HLOOKUP("PK Miss",A1:CV300,138,FALSE))</f>
      </c>
      <c r="AM138" s="25937">
        <f>HLOOKUP("BC Miss",A1:CV300,138,FALSE) - HLOOKUP("PK Miss",A1:CV300,138,FALSE)</f>
      </c>
      <c r="AN138" s="25938">
        <f>IF(HLOOKUP("BC - Open",A1:CV300,138,FALSE)=0,0,HLOOKUP("BC - Open Miss",A1:CV300,138,FALSE)/HLOOKUP("BC - Open",A1:CV300,138,FALSE))</f>
      </c>
      <c r="AO138" t="n" s="25939">
        <v>0.0</v>
      </c>
      <c r="AP138" s="25940">
        <f>IF(HLOOKUP("Gs",A1:CV300,138,FALSE)=0,0,HLOOKUP("GIB",A1:CV300,138,FALSE)/HLOOKUP("Gs",A1:CV300,138,FALSE))</f>
      </c>
      <c r="AQ138" t="n" s="25941">
        <v>0.0</v>
      </c>
      <c r="AR138" s="25942">
        <f>IF(HLOOKUP("Gs",A1:CV300,138,FALSE)=0,0,HLOOKUP("Gs - Open",A1:CV300,138,FALSE)/HLOOKUP("Gs",A1:CV300,138,FALSE))</f>
      </c>
      <c r="AS138" t="n" s="25943">
        <v>0.12</v>
      </c>
      <c r="AT138" t="n" s="25944">
        <v>0.28</v>
      </c>
      <c r="AU138" s="25945">
        <f>IF(HLOOKUP("Mins",A1:CV300,138,FALSE)=0,0,HLOOKUP("Pts",A1:CV300,138,FALSE)/HLOOKUP("Mins",A1:CV300,138,FALSE)* 90)</f>
      </c>
      <c r="AV138" s="25946">
        <f>IF(HLOOKUP("Apps",A1:CV300,138,FALSE)=0,0,HLOOKUP("Pts",A1:CV300,138,FALSE)/HLOOKUP("Apps",A1:CV300,138,FALSE)* 1)</f>
      </c>
      <c r="AW138" s="25947">
        <f>IF(HLOOKUP("Mins",A1:CV300,138,FALSE)=0,0,HLOOKUP("Gs",A1:CV300,138,FALSE)/HLOOKUP("Mins",A1:CV300,138,FALSE)* 90)</f>
      </c>
      <c r="AX138" s="25948">
        <f>IF(HLOOKUP("Mins",A1:CV300,138,FALSE)=0,0,HLOOKUP("Bonus",A1:CV300,138,FALSE)/HLOOKUP("Mins",A1:CV300,138,FALSE)* 90)</f>
      </c>
      <c r="AY138" s="25949">
        <f>IF(HLOOKUP("Mins",A1:CV300,138,FALSE)=0,0,HLOOKUP("BPS",A1:CV300,138,FALSE)/HLOOKUP("Mins",A1:CV300,138,FALSE)* 90)</f>
      </c>
      <c r="AZ138" s="25950">
        <f>IF(HLOOKUP("Mins",A1:CV300,138,FALSE)=0,0,HLOOKUP("Base BPS",A1:CV300,138,FALSE)/HLOOKUP("Mins",A1:CV300,138,FALSE)* 90)</f>
      </c>
      <c r="BA138" s="25951">
        <f>IF(HLOOKUP("Mins",A1:CV300,138,FALSE)=0,0,HLOOKUP("PenTchs",A1:CV300,138,FALSE)/HLOOKUP("Mins",A1:CV300,138,FALSE)* 90)</f>
      </c>
      <c r="BB138" s="25952">
        <f>IF(HLOOKUP("Mins",A1:CV300,138,FALSE)=0,0,HLOOKUP("Shots",A1:CV300,138,FALSE)/HLOOKUP("Mins",A1:CV300,138,FALSE)* 90)</f>
      </c>
      <c r="BC138" s="25953">
        <f>IF(HLOOKUP("Mins",A1:CV300,138,FALSE)=0,0,HLOOKUP("SIB",A1:CV300,138,FALSE)/HLOOKUP("Mins",A1:CV300,138,FALSE)* 90)</f>
      </c>
      <c r="BD138" s="25954">
        <f>IF(HLOOKUP("Mins",A1:CV300,138,FALSE)=0,0,HLOOKUP("S6YD",A1:CV300,138,FALSE)/HLOOKUP("Mins",A1:CV300,138,FALSE)* 90)</f>
      </c>
      <c r="BE138" s="25955">
        <f>IF(HLOOKUP("Mins",A1:CV300,138,FALSE)=0,0,HLOOKUP("Headers",A1:CV300,138,FALSE)/HLOOKUP("Mins",A1:CV300,138,FALSE)* 90)</f>
      </c>
      <c r="BF138" s="25956">
        <f>IF(HLOOKUP("Mins",A1:CV300,138,FALSE)=0,0,HLOOKUP("SOT",A1:CV300,138,FALSE)/HLOOKUP("Mins",A1:CV300,138,FALSE)* 90)</f>
      </c>
      <c r="BG138" s="25957">
        <f>IF(HLOOKUP("Mins",A1:CV300,138,FALSE)=0,0,HLOOKUP("As",A1:CV300,138,FALSE)/HLOOKUP("Mins",A1:CV300,138,FALSE)* 90)</f>
      </c>
      <c r="BH138" s="25958">
        <f>IF(HLOOKUP("Mins",A1:CV300,138,FALSE)=0,0,HLOOKUP("FPL As",A1:CV300,138,FALSE)/HLOOKUP("Mins",A1:CV300,138,FALSE)* 90)</f>
      </c>
      <c r="BI138" s="25959">
        <f>IF(HLOOKUP("Mins",A1:CV300,138,FALSE)=0,0,HLOOKUP("BC Created",A1:CV300,138,FALSE)/HLOOKUP("Mins",A1:CV300,138,FALSE)* 90)</f>
      </c>
      <c r="BJ138" s="25960">
        <f>IF(HLOOKUP("Mins",A1:CV300,138,FALSE)=0,0,HLOOKUP("KP",A1:CV300,138,FALSE)/HLOOKUP("Mins",A1:CV300,138,FALSE)* 90)</f>
      </c>
      <c r="BK138" s="25961">
        <f>IF(HLOOKUP("Mins",A1:CV300,138,FALSE)=0,0,HLOOKUP("BC",A1:CV300,138,FALSE)/HLOOKUP("Mins",A1:CV300,138,FALSE)* 90)</f>
      </c>
      <c r="BL138" s="25962">
        <f>IF(HLOOKUP("Mins",A1:CV300,138,FALSE)=0,0,HLOOKUP("BC Miss",A1:CV300,138,FALSE)/HLOOKUP("Mins",A1:CV300,138,FALSE)* 90)</f>
      </c>
      <c r="BM138" s="25963">
        <f>IF(HLOOKUP("Mins",A1:CV300,138,FALSE)=0,0,HLOOKUP("Gs - BC",A1:CV300,138,FALSE)/HLOOKUP("Mins",A1:CV300,138,FALSE)* 90)</f>
      </c>
      <c r="BN138" s="25964">
        <f>IF(HLOOKUP("Mins",A1:CV300,138,FALSE)=0,0,HLOOKUP("GIB",A1:CV300,138,FALSE)/HLOOKUP("Mins",A1:CV300,138,FALSE)* 90)</f>
      </c>
      <c r="BO138" s="25965">
        <f>IF(HLOOKUP("Mins",A1:CV300,138,FALSE)=0,0,HLOOKUP("Gs - Open",A1:CV300,138,FALSE)/HLOOKUP("Mins",A1:CV300,138,FALSE)* 90)</f>
      </c>
      <c r="BP138" s="25966">
        <f>IF(HLOOKUP("Mins",A1:CV300,138,FALSE)=0,0,HLOOKUP("ICT Index",A1:CV300,138,FALSE)/HLOOKUP("Mins",A1:CV300,138,FALSE)* 90)</f>
      </c>
      <c r="BQ138" s="25967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5968">
        <f>0.0885*HLOOKUP("KP/90",A1:CV300,138,FALSE)</f>
      </c>
      <c r="BS138" s="25969">
        <f>5*HLOOKUP("xG/90",A1:CV300,138,FALSE)+3*HLOOKUP("xA/90",A1:CV300,138,FALSE)</f>
      </c>
      <c r="BT138" s="25970">
        <f>HLOOKUP("xPts/90",A1:CV300,138,FALSE)-(5*0.75*(HLOOKUP("PK Gs",A1:CV300,138,FALSE)+HLOOKUP("PK Miss",A1:CV300,138,FALSE))*90/HLOOKUP("Mins",A1:CV300,138,FALSE))</f>
      </c>
      <c r="BU138" s="25971">
        <f>IF(HLOOKUP("Mins",A1:CV300,138,FALSE)=0,0,HLOOKUP("fsXG",A1:CV300,138,FALSE)/HLOOKUP("Mins",A1:CV300,138,FALSE)* 90)</f>
      </c>
      <c r="BV138" s="25972">
        <f>IF(HLOOKUP("Mins",A1:CV300,138,FALSE)=0,0,HLOOKUP("fsXA",A1:CV300,138,FALSE)/HLOOKUP("Mins",A1:CV300,138,FALSE)* 90)</f>
      </c>
      <c r="BW138" s="25973">
        <f>5*HLOOKUP("fsXG/90",A1:CV300,138,FALSE)+3*HLOOKUP("fsXA/90",A1:CV300,138,FALSE)</f>
      </c>
      <c r="BX138" t="n" s="25974">
        <v>0.018970461562275887</v>
      </c>
      <c r="BY138" t="n" s="25975">
        <v>0.12063529342412949</v>
      </c>
      <c r="BZ138" s="25976">
        <f>5*HLOOKUP("uXG/90",A1:CV300,138,FALSE)+3*HLOOKUP("uXA/90",A1:CV300,138,FALSE)</f>
      </c>
    </row>
    <row r="139">
      <c r="A139" t="s" s="25977">
        <v>430</v>
      </c>
      <c r="B139" t="s" s="25978">
        <v>147</v>
      </c>
      <c r="C139" t="n" s="25979">
        <v>5.300000190734863</v>
      </c>
      <c r="D139" t="n" s="25980">
        <v>226.0</v>
      </c>
      <c r="E139" t="n" s="25981">
        <v>5.0</v>
      </c>
      <c r="F139" t="n" s="25982">
        <v>36.0</v>
      </c>
      <c r="G139" t="n" s="25983">
        <v>1.0</v>
      </c>
      <c r="H139" t="n" s="25984">
        <v>3.0</v>
      </c>
      <c r="I139" t="n" s="25985">
        <v>124.0</v>
      </c>
      <c r="J139" s="25986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5987">
        <v>0.0</v>
      </c>
      <c r="L139" t="n" s="25988">
        <v>2.0</v>
      </c>
      <c r="M139" t="n" s="25989">
        <v>16.0</v>
      </c>
      <c r="N139" t="n" s="25990">
        <v>8.0</v>
      </c>
      <c r="O139" t="n" s="25991">
        <v>5.0</v>
      </c>
      <c r="P139" s="25992">
        <f>IF(HLOOKUP("Shots",A1:CV300,139,FALSE)=0,0,HLOOKUP("SIB",A1:CV300,139,FALSE)/HLOOKUP("Shots",A1:CV300,139,FALSE))</f>
      </c>
      <c r="Q139" t="n" s="25993">
        <v>1.0</v>
      </c>
      <c r="R139" s="25994">
        <f>IF(HLOOKUP("Shots",A1:CV300,139,FALSE)=0,0,HLOOKUP("S6YD",A1:CV300,139,FALSE)/HLOOKUP("Shots",A1:CV300,139,FALSE))</f>
      </c>
      <c r="S139" t="n" s="25995">
        <v>0.0</v>
      </c>
      <c r="T139" s="25996">
        <f>IF(HLOOKUP("Shots",A1:CV300,139,FALSE)=0,0,HLOOKUP("Headers",A1:CV300,139,FALSE)/HLOOKUP("Shots",A1:CV300,139,FALSE))</f>
      </c>
      <c r="U139" t="n" s="25997">
        <v>1.0</v>
      </c>
      <c r="V139" s="25998">
        <f>IF(HLOOKUP("Shots",A1:CV300,139,FALSE)=0,0,HLOOKUP("SOT",A1:CV300,139,FALSE)/HLOOKUP("Shots",A1:CV300,139,FALSE))</f>
      </c>
      <c r="W139" s="25999">
        <f>IF(HLOOKUP("Shots",A1:CV300,139,FALSE)=0,0,HLOOKUP("Gs",A1:CV300,139,FALSE)/HLOOKUP("Shots",A1:CV300,139,FALSE))</f>
      </c>
      <c r="X139" t="n" s="26000">
        <v>0.0</v>
      </c>
      <c r="Y139" t="n" s="26001">
        <v>3.0</v>
      </c>
      <c r="Z139" t="n" s="26002">
        <v>4.0</v>
      </c>
      <c r="AA139" s="26003">
        <f>IF(HLOOKUP("KP",A1:CV300,139,FALSE)=0,0,HLOOKUP("As",A1:CV300,139,FALSE)/HLOOKUP("KP",A1:CV300,139,FALSE))</f>
      </c>
      <c r="AB139" s="26004"/>
      <c r="AC139" t="n" s="26005">
        <v>20.0</v>
      </c>
      <c r="AD139" t="n" s="26006">
        <v>1.0</v>
      </c>
      <c r="AE139" t="n" s="26007">
        <v>1.0</v>
      </c>
      <c r="AF139" t="n" s="26008">
        <v>0.0</v>
      </c>
      <c r="AG139" s="26009">
        <f>IF(HLOOKUP("BC",A1:CV300,139,FALSE)=0,0,HLOOKUP("Gs - BC",A1:CV300,139,FALSE)/HLOOKUP("BC",A1:CV300,139,FALSE))</f>
      </c>
      <c r="AH139" s="26010">
        <f>HLOOKUP("BC",A1:CV300,139,FALSE) - HLOOKUP("BC Miss",A1:CV300,139,FALSE)</f>
      </c>
      <c r="AI139" s="26011">
        <f>IF(HLOOKUP("Gs",A1:CV300,139,FALSE)=0,0,HLOOKUP("Gs - BC",A1:CV300,139,FALSE)/HLOOKUP("Gs",A1:CV300,139,FALSE))</f>
      </c>
      <c r="AJ139" t="n" s="26012">
        <v>0.0</v>
      </c>
      <c r="AK139" t="n" s="26013">
        <v>0.0</v>
      </c>
      <c r="AL139" s="26014">
        <f>HLOOKUP("BC",A1:CV300,139,FALSE) - (HLOOKUP("PK Gs",A1:CV300,139,FALSE) + HLOOKUP("PK Miss",A1:CV300,139,FALSE))</f>
      </c>
      <c r="AM139" s="26015">
        <f>HLOOKUP("BC Miss",A1:CV300,139,FALSE) - HLOOKUP("PK Miss",A1:CV300,139,FALSE)</f>
      </c>
      <c r="AN139" s="26016">
        <f>IF(HLOOKUP("BC - Open",A1:CV300,139,FALSE)=0,0,HLOOKUP("BC - Open Miss",A1:CV300,139,FALSE)/HLOOKUP("BC - Open",A1:CV300,139,FALSE))</f>
      </c>
      <c r="AO139" t="n" s="26017">
        <v>1.0</v>
      </c>
      <c r="AP139" s="26018">
        <f>IF(HLOOKUP("Gs",A1:CV300,139,FALSE)=0,0,HLOOKUP("GIB",A1:CV300,139,FALSE)/HLOOKUP("Gs",A1:CV300,139,FALSE))</f>
      </c>
      <c r="AQ139" t="n" s="26019">
        <v>1.0</v>
      </c>
      <c r="AR139" s="26020">
        <f>IF(HLOOKUP("Gs",A1:CV300,139,FALSE)=0,0,HLOOKUP("Gs - Open",A1:CV300,139,FALSE)/HLOOKUP("Gs",A1:CV300,139,FALSE))</f>
      </c>
      <c r="AS139" t="n" s="26021">
        <v>1.09</v>
      </c>
      <c r="AT139" t="n" s="26022">
        <v>0.41</v>
      </c>
      <c r="AU139" s="26023">
        <f>IF(HLOOKUP("Mins",A1:CV300,139,FALSE)=0,0,HLOOKUP("Pts",A1:CV300,139,FALSE)/HLOOKUP("Mins",A1:CV300,139,FALSE)* 90)</f>
      </c>
      <c r="AV139" s="26024">
        <f>IF(HLOOKUP("Apps",A1:CV300,139,FALSE)=0,0,HLOOKUP("Pts",A1:CV300,139,FALSE)/HLOOKUP("Apps",A1:CV300,139,FALSE)* 1)</f>
      </c>
      <c r="AW139" s="26025">
        <f>IF(HLOOKUP("Mins",A1:CV300,139,FALSE)=0,0,HLOOKUP("Gs",A1:CV300,139,FALSE)/HLOOKUP("Mins",A1:CV300,139,FALSE)* 90)</f>
      </c>
      <c r="AX139" s="26026">
        <f>IF(HLOOKUP("Mins",A1:CV300,139,FALSE)=0,0,HLOOKUP("Bonus",A1:CV300,139,FALSE)/HLOOKUP("Mins",A1:CV300,139,FALSE)* 90)</f>
      </c>
      <c r="AY139" s="26027">
        <f>IF(HLOOKUP("Mins",A1:CV300,139,FALSE)=0,0,HLOOKUP("BPS",A1:CV300,139,FALSE)/HLOOKUP("Mins",A1:CV300,139,FALSE)* 90)</f>
      </c>
      <c r="AZ139" s="26028">
        <f>IF(HLOOKUP("Mins",A1:CV300,139,FALSE)=0,0,HLOOKUP("Base BPS",A1:CV300,139,FALSE)/HLOOKUP("Mins",A1:CV300,139,FALSE)* 90)</f>
      </c>
      <c r="BA139" s="26029">
        <f>IF(HLOOKUP("Mins",A1:CV300,139,FALSE)=0,0,HLOOKUP("PenTchs",A1:CV300,139,FALSE)/HLOOKUP("Mins",A1:CV300,139,FALSE)* 90)</f>
      </c>
      <c r="BB139" s="26030">
        <f>IF(HLOOKUP("Mins",A1:CV300,139,FALSE)=0,0,HLOOKUP("Shots",A1:CV300,139,FALSE)/HLOOKUP("Mins",A1:CV300,139,FALSE)* 90)</f>
      </c>
      <c r="BC139" s="26031">
        <f>IF(HLOOKUP("Mins",A1:CV300,139,FALSE)=0,0,HLOOKUP("SIB",A1:CV300,139,FALSE)/HLOOKUP("Mins",A1:CV300,139,FALSE)* 90)</f>
      </c>
      <c r="BD139" s="26032">
        <f>IF(HLOOKUP("Mins",A1:CV300,139,FALSE)=0,0,HLOOKUP("S6YD",A1:CV300,139,FALSE)/HLOOKUP("Mins",A1:CV300,139,FALSE)* 90)</f>
      </c>
      <c r="BE139" s="26033">
        <f>IF(HLOOKUP("Mins",A1:CV300,139,FALSE)=0,0,HLOOKUP("Headers",A1:CV300,139,FALSE)/HLOOKUP("Mins",A1:CV300,139,FALSE)* 90)</f>
      </c>
      <c r="BF139" s="26034">
        <f>IF(HLOOKUP("Mins",A1:CV300,139,FALSE)=0,0,HLOOKUP("SOT",A1:CV300,139,FALSE)/HLOOKUP("Mins",A1:CV300,139,FALSE)* 90)</f>
      </c>
      <c r="BG139" s="26035">
        <f>IF(HLOOKUP("Mins",A1:CV300,139,FALSE)=0,0,HLOOKUP("As",A1:CV300,139,FALSE)/HLOOKUP("Mins",A1:CV300,139,FALSE)* 90)</f>
      </c>
      <c r="BH139" s="26036">
        <f>IF(HLOOKUP("Mins",A1:CV300,139,FALSE)=0,0,HLOOKUP("FPL As",A1:CV300,139,FALSE)/HLOOKUP("Mins",A1:CV300,139,FALSE)* 90)</f>
      </c>
      <c r="BI139" s="26037">
        <f>IF(HLOOKUP("Mins",A1:CV300,139,FALSE)=0,0,HLOOKUP("BC Created",A1:CV300,139,FALSE)/HLOOKUP("Mins",A1:CV300,139,FALSE)* 90)</f>
      </c>
      <c r="BJ139" s="26038">
        <f>IF(HLOOKUP("Mins",A1:CV300,139,FALSE)=0,0,HLOOKUP("KP",A1:CV300,139,FALSE)/HLOOKUP("Mins",A1:CV300,139,FALSE)* 90)</f>
      </c>
      <c r="BK139" s="26039">
        <f>IF(HLOOKUP("Mins",A1:CV300,139,FALSE)=0,0,HLOOKUP("BC",A1:CV300,139,FALSE)/HLOOKUP("Mins",A1:CV300,139,FALSE)* 90)</f>
      </c>
      <c r="BL139" s="26040">
        <f>IF(HLOOKUP("Mins",A1:CV300,139,FALSE)=0,0,HLOOKUP("BC Miss",A1:CV300,139,FALSE)/HLOOKUP("Mins",A1:CV300,139,FALSE)* 90)</f>
      </c>
      <c r="BM139" s="26041">
        <f>IF(HLOOKUP("Mins",A1:CV300,139,FALSE)=0,0,HLOOKUP("Gs - BC",A1:CV300,139,FALSE)/HLOOKUP("Mins",A1:CV300,139,FALSE)* 90)</f>
      </c>
      <c r="BN139" s="26042">
        <f>IF(HLOOKUP("Mins",A1:CV300,139,FALSE)=0,0,HLOOKUP("GIB",A1:CV300,139,FALSE)/HLOOKUP("Mins",A1:CV300,139,FALSE)* 90)</f>
      </c>
      <c r="BO139" s="26043">
        <f>IF(HLOOKUP("Mins",A1:CV300,139,FALSE)=0,0,HLOOKUP("Gs - Open",A1:CV300,139,FALSE)/HLOOKUP("Mins",A1:CV300,139,FALSE)* 90)</f>
      </c>
      <c r="BP139" s="26044">
        <f>IF(HLOOKUP("Mins",A1:CV300,139,FALSE)=0,0,HLOOKUP("ICT Index",A1:CV300,139,FALSE)/HLOOKUP("Mins",A1:CV300,139,FALSE)* 90)</f>
      </c>
      <c r="BQ139" s="26045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6046">
        <f>0.0885*HLOOKUP("KP/90",A1:CV300,139,FALSE)</f>
      </c>
      <c r="BS139" s="26047">
        <f>5*HLOOKUP("xG/90",A1:CV300,139,FALSE)+3*HLOOKUP("xA/90",A1:CV300,139,FALSE)</f>
      </c>
      <c r="BT139" s="26048">
        <f>HLOOKUP("xPts/90",A1:CV300,139,FALSE)-(5*0.75*(HLOOKUP("PK Gs",A1:CV300,139,FALSE)+HLOOKUP("PK Miss",A1:CV300,139,FALSE))*90/HLOOKUP("Mins",A1:CV300,139,FALSE))</f>
      </c>
      <c r="BU139" s="26049">
        <f>IF(HLOOKUP("Mins",A1:CV300,139,FALSE)=0,0,HLOOKUP("fsXG",A1:CV300,139,FALSE)/HLOOKUP("Mins",A1:CV300,139,FALSE)* 90)</f>
      </c>
      <c r="BV139" s="26050">
        <f>IF(HLOOKUP("Mins",A1:CV300,139,FALSE)=0,0,HLOOKUP("fsXA",A1:CV300,139,FALSE)/HLOOKUP("Mins",A1:CV300,139,FALSE)* 90)</f>
      </c>
      <c r="BW139" s="26051">
        <f>5*HLOOKUP("fsXG/90",A1:CV300,139,FALSE)+3*HLOOKUP("fsXA/90",A1:CV300,139,FALSE)</f>
      </c>
      <c r="BX139" t="n" s="26052">
        <v>0.4172012209892273</v>
      </c>
      <c r="BY139" t="n" s="26053">
        <v>0.17088140547275543</v>
      </c>
      <c r="BZ139" s="26054">
        <f>5*HLOOKUP("uXG/90",A1:CV300,139,FALSE)+3*HLOOKUP("uXA/90",A1:CV300,139,FALSE)</f>
      </c>
    </row>
    <row r="140">
      <c r="A140" t="s" s="26055">
        <v>431</v>
      </c>
      <c r="B140" t="s" s="26056">
        <v>127</v>
      </c>
      <c r="C140" t="n" s="26057">
        <v>5.400000095367432</v>
      </c>
      <c r="D140" t="n" s="26058">
        <v>442.0</v>
      </c>
      <c r="E140" t="n" s="26059">
        <v>5.0</v>
      </c>
      <c r="F140" t="n" s="26060">
        <v>60.0</v>
      </c>
      <c r="G140" t="n" s="26061">
        <v>0.0</v>
      </c>
      <c r="H140" t="n" s="26062">
        <v>3.0</v>
      </c>
      <c r="I140" t="n" s="26063">
        <v>304.0</v>
      </c>
      <c r="J140" s="26064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6065">
        <v>0.0</v>
      </c>
      <c r="L140" t="n" s="26066">
        <v>10.0</v>
      </c>
      <c r="M140" t="n" s="26067">
        <v>8.0</v>
      </c>
      <c r="N140" t="n" s="26068">
        <v>4.0</v>
      </c>
      <c r="O140" t="n" s="26069">
        <v>2.0</v>
      </c>
      <c r="P140" s="26070">
        <f>IF(HLOOKUP("Shots",A1:CV300,140,FALSE)=0,0,HLOOKUP("SIB",A1:CV300,140,FALSE)/HLOOKUP("Shots",A1:CV300,140,FALSE))</f>
      </c>
      <c r="Q140" t="n" s="26071">
        <v>0.0</v>
      </c>
      <c r="R140" s="26072">
        <f>IF(HLOOKUP("Shots",A1:CV300,140,FALSE)=0,0,HLOOKUP("S6YD",A1:CV300,140,FALSE)/HLOOKUP("Shots",A1:CV300,140,FALSE))</f>
      </c>
      <c r="S140" t="n" s="26073">
        <v>0.0</v>
      </c>
      <c r="T140" s="26074">
        <f>IF(HLOOKUP("Shots",A1:CV300,140,FALSE)=0,0,HLOOKUP("Headers",A1:CV300,140,FALSE)/HLOOKUP("Shots",A1:CV300,140,FALSE))</f>
      </c>
      <c r="U140" t="n" s="26075">
        <v>0.0</v>
      </c>
      <c r="V140" s="26076">
        <f>IF(HLOOKUP("Shots",A1:CV300,140,FALSE)=0,0,HLOOKUP("SOT",A1:CV300,140,FALSE)/HLOOKUP("Shots",A1:CV300,140,FALSE))</f>
      </c>
      <c r="W140" s="26077">
        <f>IF(HLOOKUP("Shots",A1:CV300,140,FALSE)=0,0,HLOOKUP("Gs",A1:CV300,140,FALSE)/HLOOKUP("Shots",A1:CV300,140,FALSE))</f>
      </c>
      <c r="X140" t="n" s="26078">
        <v>0.0</v>
      </c>
      <c r="Y140" t="n" s="26079">
        <v>2.0</v>
      </c>
      <c r="Z140" t="n" s="26080">
        <v>7.0</v>
      </c>
      <c r="AA140" s="26081">
        <f>IF(HLOOKUP("KP",A1:CV300,140,FALSE)=0,0,HLOOKUP("As",A1:CV300,140,FALSE)/HLOOKUP("KP",A1:CV300,140,FALSE))</f>
      </c>
      <c r="AB140" s="26082"/>
      <c r="AC140" t="n" s="26083">
        <v>0.0</v>
      </c>
      <c r="AD140" t="n" s="26084">
        <v>1.0</v>
      </c>
      <c r="AE140" t="n" s="26085">
        <v>0.0</v>
      </c>
      <c r="AF140" t="n" s="26086">
        <v>0.0</v>
      </c>
      <c r="AG140" s="26087">
        <f>IF(HLOOKUP("BC",A1:CV300,140,FALSE)=0,0,HLOOKUP("Gs - BC",A1:CV300,140,FALSE)/HLOOKUP("BC",A1:CV300,140,FALSE))</f>
      </c>
      <c r="AH140" s="26088">
        <f>HLOOKUP("BC",A1:CV300,140,FALSE) - HLOOKUP("BC Miss",A1:CV300,140,FALSE)</f>
      </c>
      <c r="AI140" s="26089">
        <f>IF(HLOOKUP("Gs",A1:CV300,140,FALSE)=0,0,HLOOKUP("Gs - BC",A1:CV300,140,FALSE)/HLOOKUP("Gs",A1:CV300,140,FALSE))</f>
      </c>
      <c r="AJ140" t="n" s="26090">
        <v>0.0</v>
      </c>
      <c r="AK140" t="n" s="26091">
        <v>0.0</v>
      </c>
      <c r="AL140" s="26092">
        <f>HLOOKUP("BC",A1:CV300,140,FALSE) - (HLOOKUP("PK Gs",A1:CV300,140,FALSE) + HLOOKUP("PK Miss",A1:CV300,140,FALSE))</f>
      </c>
      <c r="AM140" s="26093">
        <f>HLOOKUP("BC Miss",A1:CV300,140,FALSE) - HLOOKUP("PK Miss",A1:CV300,140,FALSE)</f>
      </c>
      <c r="AN140" s="26094">
        <f>IF(HLOOKUP("BC - Open",A1:CV300,140,FALSE)=0,0,HLOOKUP("BC - Open Miss",A1:CV300,140,FALSE)/HLOOKUP("BC - Open",A1:CV300,140,FALSE))</f>
      </c>
      <c r="AO140" t="n" s="26095">
        <v>0.0</v>
      </c>
      <c r="AP140" s="26096">
        <f>IF(HLOOKUP("Gs",A1:CV300,140,FALSE)=0,0,HLOOKUP("GIB",A1:CV300,140,FALSE)/HLOOKUP("Gs",A1:CV300,140,FALSE))</f>
      </c>
      <c r="AQ140" t="n" s="26097">
        <v>0.0</v>
      </c>
      <c r="AR140" s="26098">
        <f>IF(HLOOKUP("Gs",A1:CV300,140,FALSE)=0,0,HLOOKUP("Gs - Open",A1:CV300,140,FALSE)/HLOOKUP("Gs",A1:CV300,140,FALSE))</f>
      </c>
      <c r="AS140" t="n" s="26099">
        <v>0.15</v>
      </c>
      <c r="AT140" t="n" s="26100">
        <v>1.07</v>
      </c>
      <c r="AU140" s="26101">
        <f>IF(HLOOKUP("Mins",A1:CV300,140,FALSE)=0,0,HLOOKUP("Pts",A1:CV300,140,FALSE)/HLOOKUP("Mins",A1:CV300,140,FALSE)* 90)</f>
      </c>
      <c r="AV140" s="26102">
        <f>IF(HLOOKUP("Apps",A1:CV300,140,FALSE)=0,0,HLOOKUP("Pts",A1:CV300,140,FALSE)/HLOOKUP("Apps",A1:CV300,140,FALSE)* 1)</f>
      </c>
      <c r="AW140" s="26103">
        <f>IF(HLOOKUP("Mins",A1:CV300,140,FALSE)=0,0,HLOOKUP("Gs",A1:CV300,140,FALSE)/HLOOKUP("Mins",A1:CV300,140,FALSE)* 90)</f>
      </c>
      <c r="AX140" s="26104">
        <f>IF(HLOOKUP("Mins",A1:CV300,140,FALSE)=0,0,HLOOKUP("Bonus",A1:CV300,140,FALSE)/HLOOKUP("Mins",A1:CV300,140,FALSE)* 90)</f>
      </c>
      <c r="AY140" s="26105">
        <f>IF(HLOOKUP("Mins",A1:CV300,140,FALSE)=0,0,HLOOKUP("BPS",A1:CV300,140,FALSE)/HLOOKUP("Mins",A1:CV300,140,FALSE)* 90)</f>
      </c>
      <c r="AZ140" s="26106">
        <f>IF(HLOOKUP("Mins",A1:CV300,140,FALSE)=0,0,HLOOKUP("Base BPS",A1:CV300,140,FALSE)/HLOOKUP("Mins",A1:CV300,140,FALSE)* 90)</f>
      </c>
      <c r="BA140" s="26107">
        <f>IF(HLOOKUP("Mins",A1:CV300,140,FALSE)=0,0,HLOOKUP("PenTchs",A1:CV300,140,FALSE)/HLOOKUP("Mins",A1:CV300,140,FALSE)* 90)</f>
      </c>
      <c r="BB140" s="26108">
        <f>IF(HLOOKUP("Mins",A1:CV300,140,FALSE)=0,0,HLOOKUP("Shots",A1:CV300,140,FALSE)/HLOOKUP("Mins",A1:CV300,140,FALSE)* 90)</f>
      </c>
      <c r="BC140" s="26109">
        <f>IF(HLOOKUP("Mins",A1:CV300,140,FALSE)=0,0,HLOOKUP("SIB",A1:CV300,140,FALSE)/HLOOKUP("Mins",A1:CV300,140,FALSE)* 90)</f>
      </c>
      <c r="BD140" s="26110">
        <f>IF(HLOOKUP("Mins",A1:CV300,140,FALSE)=0,0,HLOOKUP("S6YD",A1:CV300,140,FALSE)/HLOOKUP("Mins",A1:CV300,140,FALSE)* 90)</f>
      </c>
      <c r="BE140" s="26111">
        <f>IF(HLOOKUP("Mins",A1:CV300,140,FALSE)=0,0,HLOOKUP("Headers",A1:CV300,140,FALSE)/HLOOKUP("Mins",A1:CV300,140,FALSE)* 90)</f>
      </c>
      <c r="BF140" s="26112">
        <f>IF(HLOOKUP("Mins",A1:CV300,140,FALSE)=0,0,HLOOKUP("SOT",A1:CV300,140,FALSE)/HLOOKUP("Mins",A1:CV300,140,FALSE)* 90)</f>
      </c>
      <c r="BG140" s="26113">
        <f>IF(HLOOKUP("Mins",A1:CV300,140,FALSE)=0,0,HLOOKUP("As",A1:CV300,140,FALSE)/HLOOKUP("Mins",A1:CV300,140,FALSE)* 90)</f>
      </c>
      <c r="BH140" s="26114">
        <f>IF(HLOOKUP("Mins",A1:CV300,140,FALSE)=0,0,HLOOKUP("FPL As",A1:CV300,140,FALSE)/HLOOKUP("Mins",A1:CV300,140,FALSE)* 90)</f>
      </c>
      <c r="BI140" s="26115">
        <f>IF(HLOOKUP("Mins",A1:CV300,140,FALSE)=0,0,HLOOKUP("BC Created",A1:CV300,140,FALSE)/HLOOKUP("Mins",A1:CV300,140,FALSE)* 90)</f>
      </c>
      <c r="BJ140" s="26116">
        <f>IF(HLOOKUP("Mins",A1:CV300,140,FALSE)=0,0,HLOOKUP("KP",A1:CV300,140,FALSE)/HLOOKUP("Mins",A1:CV300,140,FALSE)* 90)</f>
      </c>
      <c r="BK140" s="26117">
        <f>IF(HLOOKUP("Mins",A1:CV300,140,FALSE)=0,0,HLOOKUP("BC",A1:CV300,140,FALSE)/HLOOKUP("Mins",A1:CV300,140,FALSE)* 90)</f>
      </c>
      <c r="BL140" s="26118">
        <f>IF(HLOOKUP("Mins",A1:CV300,140,FALSE)=0,0,HLOOKUP("BC Miss",A1:CV300,140,FALSE)/HLOOKUP("Mins",A1:CV300,140,FALSE)* 90)</f>
      </c>
      <c r="BM140" s="26119">
        <f>IF(HLOOKUP("Mins",A1:CV300,140,FALSE)=0,0,HLOOKUP("Gs - BC",A1:CV300,140,FALSE)/HLOOKUP("Mins",A1:CV300,140,FALSE)* 90)</f>
      </c>
      <c r="BN140" s="26120">
        <f>IF(HLOOKUP("Mins",A1:CV300,140,FALSE)=0,0,HLOOKUP("GIB",A1:CV300,140,FALSE)/HLOOKUP("Mins",A1:CV300,140,FALSE)* 90)</f>
      </c>
      <c r="BO140" s="26121">
        <f>IF(HLOOKUP("Mins",A1:CV300,140,FALSE)=0,0,HLOOKUP("Gs - Open",A1:CV300,140,FALSE)/HLOOKUP("Mins",A1:CV300,140,FALSE)* 90)</f>
      </c>
      <c r="BP140" s="26122">
        <f>IF(HLOOKUP("Mins",A1:CV300,140,FALSE)=0,0,HLOOKUP("ICT Index",A1:CV300,140,FALSE)/HLOOKUP("Mins",A1:CV300,140,FALSE)* 90)</f>
      </c>
      <c r="BQ140" s="26123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6124">
        <f>0.0885*HLOOKUP("KP/90",A1:CV300,140,FALSE)</f>
      </c>
      <c r="BS140" s="26125">
        <f>5*HLOOKUP("xG/90",A1:CV300,140,FALSE)+3*HLOOKUP("xA/90",A1:CV300,140,FALSE)</f>
      </c>
      <c r="BT140" s="26126">
        <f>HLOOKUP("xPts/90",A1:CV300,140,FALSE)-(5*0.75*(HLOOKUP("PK Gs",A1:CV300,140,FALSE)+HLOOKUP("PK Miss",A1:CV300,140,FALSE))*90/HLOOKUP("Mins",A1:CV300,140,FALSE))</f>
      </c>
      <c r="BU140" s="26127">
        <f>IF(HLOOKUP("Mins",A1:CV300,140,FALSE)=0,0,HLOOKUP("fsXG",A1:CV300,140,FALSE)/HLOOKUP("Mins",A1:CV300,140,FALSE)* 90)</f>
      </c>
      <c r="BV140" s="26128">
        <f>IF(HLOOKUP("Mins",A1:CV300,140,FALSE)=0,0,HLOOKUP("fsXA",A1:CV300,140,FALSE)/HLOOKUP("Mins",A1:CV300,140,FALSE)* 90)</f>
      </c>
      <c r="BW140" s="26129">
        <f>5*HLOOKUP("fsXG/90",A1:CV300,140,FALSE)+3*HLOOKUP("fsXA/90",A1:CV300,140,FALSE)</f>
      </c>
      <c r="BX140" t="n" s="26130">
        <v>0.037821218371391296</v>
      </c>
      <c r="BY140" t="n" s="26131">
        <v>0.2023518681526184</v>
      </c>
      <c r="BZ140" s="26132">
        <f>5*HLOOKUP("uXG/90",A1:CV300,140,FALSE)+3*HLOOKUP("uXA/90",A1:CV300,140,FALSE)</f>
      </c>
    </row>
    <row r="141">
      <c r="A141" t="s" s="26133">
        <v>432</v>
      </c>
      <c r="B141" t="s" s="26134">
        <v>82</v>
      </c>
      <c r="C141" t="n" s="26135">
        <v>4.300000190734863</v>
      </c>
      <c r="D141" t="n" s="26136">
        <v>70.0</v>
      </c>
      <c r="E141" t="n" s="26137">
        <v>1.0</v>
      </c>
      <c r="F141" t="n" s="26138">
        <v>3.0</v>
      </c>
      <c r="G141" t="n" s="26139">
        <v>0.0</v>
      </c>
      <c r="H141" t="n" s="26140">
        <v>0.0</v>
      </c>
      <c r="I141" t="n" s="26141">
        <v>20.0</v>
      </c>
      <c r="J141" s="26142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6143">
        <v>0.0</v>
      </c>
      <c r="L141" t="n" s="26144">
        <v>0.0</v>
      </c>
      <c r="M141" t="n" s="26145">
        <v>0.0</v>
      </c>
      <c r="N141" t="n" s="26146">
        <v>0.0</v>
      </c>
      <c r="O141" t="n" s="26147">
        <v>0.0</v>
      </c>
      <c r="P141" s="26148">
        <f>IF(HLOOKUP("Shots",A1:CV300,141,FALSE)=0,0,HLOOKUP("SIB",A1:CV300,141,FALSE)/HLOOKUP("Shots",A1:CV300,141,FALSE))</f>
      </c>
      <c r="Q141" t="n" s="26149">
        <v>0.0</v>
      </c>
      <c r="R141" s="26150">
        <f>IF(HLOOKUP("Shots",A1:CV300,141,FALSE)=0,0,HLOOKUP("S6YD",A1:CV300,141,FALSE)/HLOOKUP("Shots",A1:CV300,141,FALSE))</f>
      </c>
      <c r="S141" t="n" s="26151">
        <v>0.0</v>
      </c>
      <c r="T141" s="26152">
        <f>IF(HLOOKUP("Shots",A1:CV300,141,FALSE)=0,0,HLOOKUP("Headers",A1:CV300,141,FALSE)/HLOOKUP("Shots",A1:CV300,141,FALSE))</f>
      </c>
      <c r="U141" t="n" s="26153">
        <v>0.0</v>
      </c>
      <c r="V141" s="26154">
        <f>IF(HLOOKUP("Shots",A1:CV300,141,FALSE)=0,0,HLOOKUP("SOT",A1:CV300,141,FALSE)/HLOOKUP("Shots",A1:CV300,141,FALSE))</f>
      </c>
      <c r="W141" s="26155">
        <f>IF(HLOOKUP("Shots",A1:CV300,141,FALSE)=0,0,HLOOKUP("Gs",A1:CV300,141,FALSE)/HLOOKUP("Shots",A1:CV300,141,FALSE))</f>
      </c>
      <c r="X141" t="n" s="26156">
        <v>0.0</v>
      </c>
      <c r="Y141" t="n" s="26157">
        <v>0.0</v>
      </c>
      <c r="Z141" t="n" s="26158">
        <v>1.0</v>
      </c>
      <c r="AA141" s="26159">
        <f>IF(HLOOKUP("KP",A1:CV300,141,FALSE)=0,0,HLOOKUP("As",A1:CV300,141,FALSE)/HLOOKUP("KP",A1:CV300,141,FALSE))</f>
      </c>
      <c r="AB141" s="26160"/>
      <c r="AC141" t="n" s="26161">
        <v>0.0</v>
      </c>
      <c r="AD141" t="n" s="26162">
        <v>0.0</v>
      </c>
      <c r="AE141" t="n" s="26163">
        <v>0.0</v>
      </c>
      <c r="AF141" t="n" s="26164">
        <v>0.0</v>
      </c>
      <c r="AG141" s="26165">
        <f>IF(HLOOKUP("BC",A1:CV300,141,FALSE)=0,0,HLOOKUP("Gs - BC",A1:CV300,141,FALSE)/HLOOKUP("BC",A1:CV300,141,FALSE))</f>
      </c>
      <c r="AH141" s="26166">
        <f>HLOOKUP("BC",A1:CV300,141,FALSE) - HLOOKUP("BC Miss",A1:CV300,141,FALSE)</f>
      </c>
      <c r="AI141" s="26167">
        <f>IF(HLOOKUP("Gs",A1:CV300,141,FALSE)=0,0,HLOOKUP("Gs - BC",A1:CV300,141,FALSE)/HLOOKUP("Gs",A1:CV300,141,FALSE))</f>
      </c>
      <c r="AJ141" t="n" s="26168">
        <v>0.0</v>
      </c>
      <c r="AK141" t="n" s="26169">
        <v>0.0</v>
      </c>
      <c r="AL141" s="26170">
        <f>HLOOKUP("BC",A1:CV300,141,FALSE) - (HLOOKUP("PK Gs",A1:CV300,141,FALSE) + HLOOKUP("PK Miss",A1:CV300,141,FALSE))</f>
      </c>
      <c r="AM141" s="26171">
        <f>HLOOKUP("BC Miss",A1:CV300,141,FALSE) - HLOOKUP("PK Miss",A1:CV300,141,FALSE)</f>
      </c>
      <c r="AN141" s="26172">
        <f>IF(HLOOKUP("BC - Open",A1:CV300,141,FALSE)=0,0,HLOOKUP("BC - Open Miss",A1:CV300,141,FALSE)/HLOOKUP("BC - Open",A1:CV300,141,FALSE))</f>
      </c>
      <c r="AO141" t="n" s="26173">
        <v>0.0</v>
      </c>
      <c r="AP141" s="26174">
        <f>IF(HLOOKUP("Gs",A1:CV300,141,FALSE)=0,0,HLOOKUP("GIB",A1:CV300,141,FALSE)/HLOOKUP("Gs",A1:CV300,141,FALSE))</f>
      </c>
      <c r="AQ141" t="n" s="26175">
        <v>0.0</v>
      </c>
      <c r="AR141" s="26176">
        <f>IF(HLOOKUP("Gs",A1:CV300,141,FALSE)=0,0,HLOOKUP("Gs - Open",A1:CV300,141,FALSE)/HLOOKUP("Gs",A1:CV300,141,FALSE))</f>
      </c>
      <c r="AS141" t="n" s="26177">
        <v>0.0</v>
      </c>
      <c r="AT141" t="n" s="26178">
        <v>0.05</v>
      </c>
      <c r="AU141" s="26179">
        <f>IF(HLOOKUP("Mins",A1:CV300,141,FALSE)=0,0,HLOOKUP("Pts",A1:CV300,141,FALSE)/HLOOKUP("Mins",A1:CV300,141,FALSE)* 90)</f>
      </c>
      <c r="AV141" s="26180">
        <f>IF(HLOOKUP("Apps",A1:CV300,141,FALSE)=0,0,HLOOKUP("Pts",A1:CV300,141,FALSE)/HLOOKUP("Apps",A1:CV300,141,FALSE)* 1)</f>
      </c>
      <c r="AW141" s="26181">
        <f>IF(HLOOKUP("Mins",A1:CV300,141,FALSE)=0,0,HLOOKUP("Gs",A1:CV300,141,FALSE)/HLOOKUP("Mins",A1:CV300,141,FALSE)* 90)</f>
      </c>
      <c r="AX141" s="26182">
        <f>IF(HLOOKUP("Mins",A1:CV300,141,FALSE)=0,0,HLOOKUP("Bonus",A1:CV300,141,FALSE)/HLOOKUP("Mins",A1:CV300,141,FALSE)* 90)</f>
      </c>
      <c r="AY141" s="26183">
        <f>IF(HLOOKUP("Mins",A1:CV300,141,FALSE)=0,0,HLOOKUP("BPS",A1:CV300,141,FALSE)/HLOOKUP("Mins",A1:CV300,141,FALSE)* 90)</f>
      </c>
      <c r="AZ141" s="26184">
        <f>IF(HLOOKUP("Mins",A1:CV300,141,FALSE)=0,0,HLOOKUP("Base BPS",A1:CV300,141,FALSE)/HLOOKUP("Mins",A1:CV300,141,FALSE)* 90)</f>
      </c>
      <c r="BA141" s="26185">
        <f>IF(HLOOKUP("Mins",A1:CV300,141,FALSE)=0,0,HLOOKUP("PenTchs",A1:CV300,141,FALSE)/HLOOKUP("Mins",A1:CV300,141,FALSE)* 90)</f>
      </c>
      <c r="BB141" s="26186">
        <f>IF(HLOOKUP("Mins",A1:CV300,141,FALSE)=0,0,HLOOKUP("Shots",A1:CV300,141,FALSE)/HLOOKUP("Mins",A1:CV300,141,FALSE)* 90)</f>
      </c>
      <c r="BC141" s="26187">
        <f>IF(HLOOKUP("Mins",A1:CV300,141,FALSE)=0,0,HLOOKUP("SIB",A1:CV300,141,FALSE)/HLOOKUP("Mins",A1:CV300,141,FALSE)* 90)</f>
      </c>
      <c r="BD141" s="26188">
        <f>IF(HLOOKUP("Mins",A1:CV300,141,FALSE)=0,0,HLOOKUP("S6YD",A1:CV300,141,FALSE)/HLOOKUP("Mins",A1:CV300,141,FALSE)* 90)</f>
      </c>
      <c r="BE141" s="26189">
        <f>IF(HLOOKUP("Mins",A1:CV300,141,FALSE)=0,0,HLOOKUP("Headers",A1:CV300,141,FALSE)/HLOOKUP("Mins",A1:CV300,141,FALSE)* 90)</f>
      </c>
      <c r="BF141" s="26190">
        <f>IF(HLOOKUP("Mins",A1:CV300,141,FALSE)=0,0,HLOOKUP("SOT",A1:CV300,141,FALSE)/HLOOKUP("Mins",A1:CV300,141,FALSE)* 90)</f>
      </c>
      <c r="BG141" s="26191">
        <f>IF(HLOOKUP("Mins",A1:CV300,141,FALSE)=0,0,HLOOKUP("As",A1:CV300,141,FALSE)/HLOOKUP("Mins",A1:CV300,141,FALSE)* 90)</f>
      </c>
      <c r="BH141" s="26192">
        <f>IF(HLOOKUP("Mins",A1:CV300,141,FALSE)=0,0,HLOOKUP("FPL As",A1:CV300,141,FALSE)/HLOOKUP("Mins",A1:CV300,141,FALSE)* 90)</f>
      </c>
      <c r="BI141" s="26193">
        <f>IF(HLOOKUP("Mins",A1:CV300,141,FALSE)=0,0,HLOOKUP("BC Created",A1:CV300,141,FALSE)/HLOOKUP("Mins",A1:CV300,141,FALSE)* 90)</f>
      </c>
      <c r="BJ141" s="26194">
        <f>IF(HLOOKUP("Mins",A1:CV300,141,FALSE)=0,0,HLOOKUP("KP",A1:CV300,141,FALSE)/HLOOKUP("Mins",A1:CV300,141,FALSE)* 90)</f>
      </c>
      <c r="BK141" s="26195">
        <f>IF(HLOOKUP("Mins",A1:CV300,141,FALSE)=0,0,HLOOKUP("BC",A1:CV300,141,FALSE)/HLOOKUP("Mins",A1:CV300,141,FALSE)* 90)</f>
      </c>
      <c r="BL141" s="26196">
        <f>IF(HLOOKUP("Mins",A1:CV300,141,FALSE)=0,0,HLOOKUP("BC Miss",A1:CV300,141,FALSE)/HLOOKUP("Mins",A1:CV300,141,FALSE)* 90)</f>
      </c>
      <c r="BM141" s="26197">
        <f>IF(HLOOKUP("Mins",A1:CV300,141,FALSE)=0,0,HLOOKUP("Gs - BC",A1:CV300,141,FALSE)/HLOOKUP("Mins",A1:CV300,141,FALSE)* 90)</f>
      </c>
      <c r="BN141" s="26198">
        <f>IF(HLOOKUP("Mins",A1:CV300,141,FALSE)=0,0,HLOOKUP("GIB",A1:CV300,141,FALSE)/HLOOKUP("Mins",A1:CV300,141,FALSE)* 90)</f>
      </c>
      <c r="BO141" s="26199">
        <f>IF(HLOOKUP("Mins",A1:CV300,141,FALSE)=0,0,HLOOKUP("Gs - Open",A1:CV300,141,FALSE)/HLOOKUP("Mins",A1:CV300,141,FALSE)* 90)</f>
      </c>
      <c r="BP141" s="26200">
        <f>IF(HLOOKUP("Mins",A1:CV300,141,FALSE)=0,0,HLOOKUP("ICT Index",A1:CV300,141,FALSE)/HLOOKUP("Mins",A1:CV300,141,FALSE)* 90)</f>
      </c>
      <c r="BQ141" s="26201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6202">
        <f>0.0885*HLOOKUP("KP/90",A1:CV300,141,FALSE)</f>
      </c>
      <c r="BS141" s="26203">
        <f>5*HLOOKUP("xG/90",A1:CV300,141,FALSE)+3*HLOOKUP("xA/90",A1:CV300,141,FALSE)</f>
      </c>
      <c r="BT141" s="26204">
        <f>HLOOKUP("xPts/90",A1:CV300,141,FALSE)-(5*0.75*(HLOOKUP("PK Gs",A1:CV300,141,FALSE)+HLOOKUP("PK Miss",A1:CV300,141,FALSE))*90/HLOOKUP("Mins",A1:CV300,141,FALSE))</f>
      </c>
      <c r="BU141" s="26205">
        <f>IF(HLOOKUP("Mins",A1:CV300,141,FALSE)=0,0,HLOOKUP("fsXG",A1:CV300,141,FALSE)/HLOOKUP("Mins",A1:CV300,141,FALSE)* 90)</f>
      </c>
      <c r="BV141" s="26206">
        <f>IF(HLOOKUP("Mins",A1:CV300,141,FALSE)=0,0,HLOOKUP("fsXA",A1:CV300,141,FALSE)/HLOOKUP("Mins",A1:CV300,141,FALSE)* 90)</f>
      </c>
      <c r="BW141" s="26207">
        <f>5*HLOOKUP("fsXG/90",A1:CV300,141,FALSE)+3*HLOOKUP("fsXA/90",A1:CV300,141,FALSE)</f>
      </c>
      <c r="BX141" t="n" s="26208">
        <v>0.0</v>
      </c>
      <c r="BY141" t="n" s="26209">
        <v>0.0739918053150177</v>
      </c>
      <c r="BZ141" s="26210">
        <f>5*HLOOKUP("uXG/90",A1:CV300,141,FALSE)+3*HLOOKUP("uXA/90",A1:CV300,141,FALSE)</f>
      </c>
    </row>
    <row r="142">
      <c r="A142" t="s" s="26211">
        <v>433</v>
      </c>
      <c r="B142" t="s" s="26212">
        <v>87</v>
      </c>
      <c r="C142" t="n" s="26213">
        <v>4.400000095367432</v>
      </c>
      <c r="D142" t="n" s="26214">
        <v>343.0</v>
      </c>
      <c r="E142" t="n" s="26215">
        <v>5.0</v>
      </c>
      <c r="F142" t="n" s="26216">
        <v>26.0</v>
      </c>
      <c r="G142" t="n" s="26217">
        <v>0.0</v>
      </c>
      <c r="H142" t="n" s="26218">
        <v>0.0</v>
      </c>
      <c r="I142" t="n" s="26219">
        <v>191.0</v>
      </c>
      <c r="J142" s="26220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6221">
        <v>0.0</v>
      </c>
      <c r="L142" t="n" s="26222">
        <v>1.0</v>
      </c>
      <c r="M142" t="n" s="26223">
        <v>0.0</v>
      </c>
      <c r="N142" t="n" s="26224">
        <v>1.0</v>
      </c>
      <c r="O142" t="n" s="26225">
        <v>0.0</v>
      </c>
      <c r="P142" s="26226">
        <f>IF(HLOOKUP("Shots",A1:CV300,142,FALSE)=0,0,HLOOKUP("SIB",A1:CV300,142,FALSE)/HLOOKUP("Shots",A1:CV300,142,FALSE))</f>
      </c>
      <c r="Q142" t="n" s="26227">
        <v>0.0</v>
      </c>
      <c r="R142" s="26228">
        <f>IF(HLOOKUP("Shots",A1:CV300,142,FALSE)=0,0,HLOOKUP("S6YD",A1:CV300,142,FALSE)/HLOOKUP("Shots",A1:CV300,142,FALSE))</f>
      </c>
      <c r="S142" t="n" s="26229">
        <v>0.0</v>
      </c>
      <c r="T142" s="26230">
        <f>IF(HLOOKUP("Shots",A1:CV300,142,FALSE)=0,0,HLOOKUP("Headers",A1:CV300,142,FALSE)/HLOOKUP("Shots",A1:CV300,142,FALSE))</f>
      </c>
      <c r="U142" t="n" s="26231">
        <v>0.0</v>
      </c>
      <c r="V142" s="26232">
        <f>IF(HLOOKUP("Shots",A1:CV300,142,FALSE)=0,0,HLOOKUP("SOT",A1:CV300,142,FALSE)/HLOOKUP("Shots",A1:CV300,142,FALSE))</f>
      </c>
      <c r="W142" s="26233">
        <f>IF(HLOOKUP("Shots",A1:CV300,142,FALSE)=0,0,HLOOKUP("Gs",A1:CV300,142,FALSE)/HLOOKUP("Shots",A1:CV300,142,FALSE))</f>
      </c>
      <c r="X142" t="n" s="26234">
        <v>0.0</v>
      </c>
      <c r="Y142" t="n" s="26235">
        <v>0.0</v>
      </c>
      <c r="Z142" t="n" s="26236">
        <v>3.0</v>
      </c>
      <c r="AA142" s="26237">
        <f>IF(HLOOKUP("KP",A1:CV300,142,FALSE)=0,0,HLOOKUP("As",A1:CV300,142,FALSE)/HLOOKUP("KP",A1:CV300,142,FALSE))</f>
      </c>
      <c r="AB142" s="26238"/>
      <c r="AC142" t="n" s="26239">
        <v>0.0</v>
      </c>
      <c r="AD142" t="n" s="26240">
        <v>0.0</v>
      </c>
      <c r="AE142" t="n" s="26241">
        <v>0.0</v>
      </c>
      <c r="AF142" t="n" s="26242">
        <v>0.0</v>
      </c>
      <c r="AG142" s="26243">
        <f>IF(HLOOKUP("BC",A1:CV300,142,FALSE)=0,0,HLOOKUP("Gs - BC",A1:CV300,142,FALSE)/HLOOKUP("BC",A1:CV300,142,FALSE))</f>
      </c>
      <c r="AH142" s="26244">
        <f>HLOOKUP("BC",A1:CV300,142,FALSE) - HLOOKUP("BC Miss",A1:CV300,142,FALSE)</f>
      </c>
      <c r="AI142" s="26245">
        <f>IF(HLOOKUP("Gs",A1:CV300,142,FALSE)=0,0,HLOOKUP("Gs - BC",A1:CV300,142,FALSE)/HLOOKUP("Gs",A1:CV300,142,FALSE))</f>
      </c>
      <c r="AJ142" t="n" s="26246">
        <v>0.0</v>
      </c>
      <c r="AK142" t="n" s="26247">
        <v>0.0</v>
      </c>
      <c r="AL142" s="26248">
        <f>HLOOKUP("BC",A1:CV300,142,FALSE) - (HLOOKUP("PK Gs",A1:CV300,142,FALSE) + HLOOKUP("PK Miss",A1:CV300,142,FALSE))</f>
      </c>
      <c r="AM142" s="26249">
        <f>HLOOKUP("BC Miss",A1:CV300,142,FALSE) - HLOOKUP("PK Miss",A1:CV300,142,FALSE)</f>
      </c>
      <c r="AN142" s="26250">
        <f>IF(HLOOKUP("BC - Open",A1:CV300,142,FALSE)=0,0,HLOOKUP("BC - Open Miss",A1:CV300,142,FALSE)/HLOOKUP("BC - Open",A1:CV300,142,FALSE))</f>
      </c>
      <c r="AO142" t="n" s="26251">
        <v>0.0</v>
      </c>
      <c r="AP142" s="26252">
        <f>IF(HLOOKUP("Gs",A1:CV300,142,FALSE)=0,0,HLOOKUP("GIB",A1:CV300,142,FALSE)/HLOOKUP("Gs",A1:CV300,142,FALSE))</f>
      </c>
      <c r="AQ142" t="n" s="26253">
        <v>0.0</v>
      </c>
      <c r="AR142" s="26254">
        <f>IF(HLOOKUP("Gs",A1:CV300,142,FALSE)=0,0,HLOOKUP("Gs - Open",A1:CV300,142,FALSE)/HLOOKUP("Gs",A1:CV300,142,FALSE))</f>
      </c>
      <c r="AS142" t="n" s="26255">
        <v>0.02</v>
      </c>
      <c r="AT142" t="n" s="26256">
        <v>0.11</v>
      </c>
      <c r="AU142" s="26257">
        <f>IF(HLOOKUP("Mins",A1:CV300,142,FALSE)=0,0,HLOOKUP("Pts",A1:CV300,142,FALSE)/HLOOKUP("Mins",A1:CV300,142,FALSE)* 90)</f>
      </c>
      <c r="AV142" s="26258">
        <f>IF(HLOOKUP("Apps",A1:CV300,142,FALSE)=0,0,HLOOKUP("Pts",A1:CV300,142,FALSE)/HLOOKUP("Apps",A1:CV300,142,FALSE)* 1)</f>
      </c>
      <c r="AW142" s="26259">
        <f>IF(HLOOKUP("Mins",A1:CV300,142,FALSE)=0,0,HLOOKUP("Gs",A1:CV300,142,FALSE)/HLOOKUP("Mins",A1:CV300,142,FALSE)* 90)</f>
      </c>
      <c r="AX142" s="26260">
        <f>IF(HLOOKUP("Mins",A1:CV300,142,FALSE)=0,0,HLOOKUP("Bonus",A1:CV300,142,FALSE)/HLOOKUP("Mins",A1:CV300,142,FALSE)* 90)</f>
      </c>
      <c r="AY142" s="26261">
        <f>IF(HLOOKUP("Mins",A1:CV300,142,FALSE)=0,0,HLOOKUP("BPS",A1:CV300,142,FALSE)/HLOOKUP("Mins",A1:CV300,142,FALSE)* 90)</f>
      </c>
      <c r="AZ142" s="26262">
        <f>IF(HLOOKUP("Mins",A1:CV300,142,FALSE)=0,0,HLOOKUP("Base BPS",A1:CV300,142,FALSE)/HLOOKUP("Mins",A1:CV300,142,FALSE)* 90)</f>
      </c>
      <c r="BA142" s="26263">
        <f>IF(HLOOKUP("Mins",A1:CV300,142,FALSE)=0,0,HLOOKUP("PenTchs",A1:CV300,142,FALSE)/HLOOKUP("Mins",A1:CV300,142,FALSE)* 90)</f>
      </c>
      <c r="BB142" s="26264">
        <f>IF(HLOOKUP("Mins",A1:CV300,142,FALSE)=0,0,HLOOKUP("Shots",A1:CV300,142,FALSE)/HLOOKUP("Mins",A1:CV300,142,FALSE)* 90)</f>
      </c>
      <c r="BC142" s="26265">
        <f>IF(HLOOKUP("Mins",A1:CV300,142,FALSE)=0,0,HLOOKUP("SIB",A1:CV300,142,FALSE)/HLOOKUP("Mins",A1:CV300,142,FALSE)* 90)</f>
      </c>
      <c r="BD142" s="26266">
        <f>IF(HLOOKUP("Mins",A1:CV300,142,FALSE)=0,0,HLOOKUP("S6YD",A1:CV300,142,FALSE)/HLOOKUP("Mins",A1:CV300,142,FALSE)* 90)</f>
      </c>
      <c r="BE142" s="26267">
        <f>IF(HLOOKUP("Mins",A1:CV300,142,FALSE)=0,0,HLOOKUP("Headers",A1:CV300,142,FALSE)/HLOOKUP("Mins",A1:CV300,142,FALSE)* 90)</f>
      </c>
      <c r="BF142" s="26268">
        <f>IF(HLOOKUP("Mins",A1:CV300,142,FALSE)=0,0,HLOOKUP("SOT",A1:CV300,142,FALSE)/HLOOKUP("Mins",A1:CV300,142,FALSE)* 90)</f>
      </c>
      <c r="BG142" s="26269">
        <f>IF(HLOOKUP("Mins",A1:CV300,142,FALSE)=0,0,HLOOKUP("As",A1:CV300,142,FALSE)/HLOOKUP("Mins",A1:CV300,142,FALSE)* 90)</f>
      </c>
      <c r="BH142" s="26270">
        <f>IF(HLOOKUP("Mins",A1:CV300,142,FALSE)=0,0,HLOOKUP("FPL As",A1:CV300,142,FALSE)/HLOOKUP("Mins",A1:CV300,142,FALSE)* 90)</f>
      </c>
      <c r="BI142" s="26271">
        <f>IF(HLOOKUP("Mins",A1:CV300,142,FALSE)=0,0,HLOOKUP("BC Created",A1:CV300,142,FALSE)/HLOOKUP("Mins",A1:CV300,142,FALSE)* 90)</f>
      </c>
      <c r="BJ142" s="26272">
        <f>IF(HLOOKUP("Mins",A1:CV300,142,FALSE)=0,0,HLOOKUP("KP",A1:CV300,142,FALSE)/HLOOKUP("Mins",A1:CV300,142,FALSE)* 90)</f>
      </c>
      <c r="BK142" s="26273">
        <f>IF(HLOOKUP("Mins",A1:CV300,142,FALSE)=0,0,HLOOKUP("BC",A1:CV300,142,FALSE)/HLOOKUP("Mins",A1:CV300,142,FALSE)* 90)</f>
      </c>
      <c r="BL142" s="26274">
        <f>IF(HLOOKUP("Mins",A1:CV300,142,FALSE)=0,0,HLOOKUP("BC Miss",A1:CV300,142,FALSE)/HLOOKUP("Mins",A1:CV300,142,FALSE)* 90)</f>
      </c>
      <c r="BM142" s="26275">
        <f>IF(HLOOKUP("Mins",A1:CV300,142,FALSE)=0,0,HLOOKUP("Gs - BC",A1:CV300,142,FALSE)/HLOOKUP("Mins",A1:CV300,142,FALSE)* 90)</f>
      </c>
      <c r="BN142" s="26276">
        <f>IF(HLOOKUP("Mins",A1:CV300,142,FALSE)=0,0,HLOOKUP("GIB",A1:CV300,142,FALSE)/HLOOKUP("Mins",A1:CV300,142,FALSE)* 90)</f>
      </c>
      <c r="BO142" s="26277">
        <f>IF(HLOOKUP("Mins",A1:CV300,142,FALSE)=0,0,HLOOKUP("Gs - Open",A1:CV300,142,FALSE)/HLOOKUP("Mins",A1:CV300,142,FALSE)* 90)</f>
      </c>
      <c r="BP142" s="26278">
        <f>IF(HLOOKUP("Mins",A1:CV300,142,FALSE)=0,0,HLOOKUP("ICT Index",A1:CV300,142,FALSE)/HLOOKUP("Mins",A1:CV300,142,FALSE)* 90)</f>
      </c>
      <c r="BQ142" s="26279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6280">
        <f>0.0885*HLOOKUP("KP/90",A1:CV300,142,FALSE)</f>
      </c>
      <c r="BS142" s="26281">
        <f>5*HLOOKUP("xG/90",A1:CV300,142,FALSE)+3*HLOOKUP("xA/90",A1:CV300,142,FALSE)</f>
      </c>
      <c r="BT142" s="26282">
        <f>HLOOKUP("xPts/90",A1:CV300,142,FALSE)-(5*0.75*(HLOOKUP("PK Gs",A1:CV300,142,FALSE)+HLOOKUP("PK Miss",A1:CV300,142,FALSE))*90/HLOOKUP("Mins",A1:CV300,142,FALSE))</f>
      </c>
      <c r="BU142" s="26283">
        <f>IF(HLOOKUP("Mins",A1:CV300,142,FALSE)=0,0,HLOOKUP("fsXG",A1:CV300,142,FALSE)/HLOOKUP("Mins",A1:CV300,142,FALSE)* 90)</f>
      </c>
      <c r="BV142" s="26284">
        <f>IF(HLOOKUP("Mins",A1:CV300,142,FALSE)=0,0,HLOOKUP("fsXA",A1:CV300,142,FALSE)/HLOOKUP("Mins",A1:CV300,142,FALSE)* 90)</f>
      </c>
      <c r="BW142" s="26285">
        <f>5*HLOOKUP("fsXG/90",A1:CV300,142,FALSE)+3*HLOOKUP("fsXA/90",A1:CV300,142,FALSE)</f>
      </c>
      <c r="BX142" t="n" s="26286">
        <v>0.0032686737831681967</v>
      </c>
      <c r="BY142" t="n" s="26287">
        <v>0.023934105411171913</v>
      </c>
      <c r="BZ142" s="26288">
        <f>5*HLOOKUP("uXG/90",A1:CV300,142,FALSE)+3*HLOOKUP("uXA/90",A1:CV300,142,FALSE)</f>
      </c>
    </row>
    <row r="143">
      <c r="A143" t="s" s="26289">
        <v>434</v>
      </c>
      <c r="B143" t="s" s="26290">
        <v>96</v>
      </c>
      <c r="C143" t="n" s="26291">
        <v>4.900000095367432</v>
      </c>
      <c r="D143" t="n" s="26292">
        <v>534.0</v>
      </c>
      <c r="E143" t="n" s="26293">
        <v>6.0</v>
      </c>
      <c r="F143" t="n" s="26294">
        <v>45.0</v>
      </c>
      <c r="G143" t="n" s="26295">
        <v>0.0</v>
      </c>
      <c r="H143" t="n" s="26296">
        <v>0.0</v>
      </c>
      <c r="I143" t="n" s="26297">
        <v>205.0</v>
      </c>
      <c r="J143" s="26298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6299">
        <v>0.0</v>
      </c>
      <c r="L143" t="n" s="26300">
        <v>6.0</v>
      </c>
      <c r="M143" t="n" s="26301">
        <v>9.0</v>
      </c>
      <c r="N143" t="n" s="26302">
        <v>5.0</v>
      </c>
      <c r="O143" t="n" s="26303">
        <v>4.0</v>
      </c>
      <c r="P143" s="26304">
        <f>IF(HLOOKUP("Shots",A1:CV300,143,FALSE)=0,0,HLOOKUP("SIB",A1:CV300,143,FALSE)/HLOOKUP("Shots",A1:CV300,143,FALSE))</f>
      </c>
      <c r="Q143" t="n" s="26305">
        <v>3.0</v>
      </c>
      <c r="R143" s="26306">
        <f>IF(HLOOKUP("Shots",A1:CV300,143,FALSE)=0,0,HLOOKUP("S6YD",A1:CV300,143,FALSE)/HLOOKUP("Shots",A1:CV300,143,FALSE))</f>
      </c>
      <c r="S143" t="n" s="26307">
        <v>2.0</v>
      </c>
      <c r="T143" s="26308">
        <f>IF(HLOOKUP("Shots",A1:CV300,143,FALSE)=0,0,HLOOKUP("Headers",A1:CV300,143,FALSE)/HLOOKUP("Shots",A1:CV300,143,FALSE))</f>
      </c>
      <c r="U143" t="n" s="26309">
        <v>1.0</v>
      </c>
      <c r="V143" s="26310">
        <f>IF(HLOOKUP("Shots",A1:CV300,143,FALSE)=0,0,HLOOKUP("SOT",A1:CV300,143,FALSE)/HLOOKUP("Shots",A1:CV300,143,FALSE))</f>
      </c>
      <c r="W143" s="26311">
        <f>IF(HLOOKUP("Shots",A1:CV300,143,FALSE)=0,0,HLOOKUP("Gs",A1:CV300,143,FALSE)/HLOOKUP("Shots",A1:CV300,143,FALSE))</f>
      </c>
      <c r="X143" t="n" s="26312">
        <v>0.0</v>
      </c>
      <c r="Y143" t="n" s="26313">
        <v>0.0</v>
      </c>
      <c r="Z143" t="n" s="26314">
        <v>2.0</v>
      </c>
      <c r="AA143" s="26315">
        <f>IF(HLOOKUP("KP",A1:CV300,143,FALSE)=0,0,HLOOKUP("As",A1:CV300,143,FALSE)/HLOOKUP("KP",A1:CV300,143,FALSE))</f>
      </c>
      <c r="AB143" s="26316"/>
      <c r="AC143" t="n" s="26317">
        <v>0.0</v>
      </c>
      <c r="AD143" t="n" s="26318">
        <v>0.0</v>
      </c>
      <c r="AE143" t="n" s="26319">
        <v>1.0</v>
      </c>
      <c r="AF143" t="n" s="26320">
        <v>1.0</v>
      </c>
      <c r="AG143" s="26321">
        <f>IF(HLOOKUP("BC",A1:CV300,143,FALSE)=0,0,HLOOKUP("Gs - BC",A1:CV300,143,FALSE)/HLOOKUP("BC",A1:CV300,143,FALSE))</f>
      </c>
      <c r="AH143" s="26322">
        <f>HLOOKUP("BC",A1:CV300,143,FALSE) - HLOOKUP("BC Miss",A1:CV300,143,FALSE)</f>
      </c>
      <c r="AI143" s="26323">
        <f>IF(HLOOKUP("Gs",A1:CV300,143,FALSE)=0,0,HLOOKUP("Gs - BC",A1:CV300,143,FALSE)/HLOOKUP("Gs",A1:CV300,143,FALSE))</f>
      </c>
      <c r="AJ143" t="n" s="26324">
        <v>0.0</v>
      </c>
      <c r="AK143" t="n" s="26325">
        <v>0.0</v>
      </c>
      <c r="AL143" s="26326">
        <f>HLOOKUP("BC",A1:CV300,143,FALSE) - (HLOOKUP("PK Gs",A1:CV300,143,FALSE) + HLOOKUP("PK Miss",A1:CV300,143,FALSE))</f>
      </c>
      <c r="AM143" s="26327">
        <f>HLOOKUP("BC Miss",A1:CV300,143,FALSE) - HLOOKUP("PK Miss",A1:CV300,143,FALSE)</f>
      </c>
      <c r="AN143" s="26328">
        <f>IF(HLOOKUP("BC - Open",A1:CV300,143,FALSE)=0,0,HLOOKUP("BC - Open Miss",A1:CV300,143,FALSE)/HLOOKUP("BC - Open",A1:CV300,143,FALSE))</f>
      </c>
      <c r="AO143" t="n" s="26329">
        <v>0.0</v>
      </c>
      <c r="AP143" s="26330">
        <f>IF(HLOOKUP("Gs",A1:CV300,143,FALSE)=0,0,HLOOKUP("GIB",A1:CV300,143,FALSE)/HLOOKUP("Gs",A1:CV300,143,FALSE))</f>
      </c>
      <c r="AQ143" t="n" s="26331">
        <v>0.0</v>
      </c>
      <c r="AR143" s="26332">
        <f>IF(HLOOKUP("Gs",A1:CV300,143,FALSE)=0,0,HLOOKUP("Gs - Open",A1:CV300,143,FALSE)/HLOOKUP("Gs",A1:CV300,143,FALSE))</f>
      </c>
      <c r="AS143" t="n" s="26333">
        <v>0.74</v>
      </c>
      <c r="AT143" t="n" s="26334">
        <v>0.47</v>
      </c>
      <c r="AU143" s="26335">
        <f>IF(HLOOKUP("Mins",A1:CV300,143,FALSE)=0,0,HLOOKUP("Pts",A1:CV300,143,FALSE)/HLOOKUP("Mins",A1:CV300,143,FALSE)* 90)</f>
      </c>
      <c r="AV143" s="26336">
        <f>IF(HLOOKUP("Apps",A1:CV300,143,FALSE)=0,0,HLOOKUP("Pts",A1:CV300,143,FALSE)/HLOOKUP("Apps",A1:CV300,143,FALSE)* 1)</f>
      </c>
      <c r="AW143" s="26337">
        <f>IF(HLOOKUP("Mins",A1:CV300,143,FALSE)=0,0,HLOOKUP("Gs",A1:CV300,143,FALSE)/HLOOKUP("Mins",A1:CV300,143,FALSE)* 90)</f>
      </c>
      <c r="AX143" s="26338">
        <f>IF(HLOOKUP("Mins",A1:CV300,143,FALSE)=0,0,HLOOKUP("Bonus",A1:CV300,143,FALSE)/HLOOKUP("Mins",A1:CV300,143,FALSE)* 90)</f>
      </c>
      <c r="AY143" s="26339">
        <f>IF(HLOOKUP("Mins",A1:CV300,143,FALSE)=0,0,HLOOKUP("BPS",A1:CV300,143,FALSE)/HLOOKUP("Mins",A1:CV300,143,FALSE)* 90)</f>
      </c>
      <c r="AZ143" s="26340">
        <f>IF(HLOOKUP("Mins",A1:CV300,143,FALSE)=0,0,HLOOKUP("Base BPS",A1:CV300,143,FALSE)/HLOOKUP("Mins",A1:CV300,143,FALSE)* 90)</f>
      </c>
      <c r="BA143" s="26341">
        <f>IF(HLOOKUP("Mins",A1:CV300,143,FALSE)=0,0,HLOOKUP("PenTchs",A1:CV300,143,FALSE)/HLOOKUP("Mins",A1:CV300,143,FALSE)* 90)</f>
      </c>
      <c r="BB143" s="26342">
        <f>IF(HLOOKUP("Mins",A1:CV300,143,FALSE)=0,0,HLOOKUP("Shots",A1:CV300,143,FALSE)/HLOOKUP("Mins",A1:CV300,143,FALSE)* 90)</f>
      </c>
      <c r="BC143" s="26343">
        <f>IF(HLOOKUP("Mins",A1:CV300,143,FALSE)=0,0,HLOOKUP("SIB",A1:CV300,143,FALSE)/HLOOKUP("Mins",A1:CV300,143,FALSE)* 90)</f>
      </c>
      <c r="BD143" s="26344">
        <f>IF(HLOOKUP("Mins",A1:CV300,143,FALSE)=0,0,HLOOKUP("S6YD",A1:CV300,143,FALSE)/HLOOKUP("Mins",A1:CV300,143,FALSE)* 90)</f>
      </c>
      <c r="BE143" s="26345">
        <f>IF(HLOOKUP("Mins",A1:CV300,143,FALSE)=0,0,HLOOKUP("Headers",A1:CV300,143,FALSE)/HLOOKUP("Mins",A1:CV300,143,FALSE)* 90)</f>
      </c>
      <c r="BF143" s="26346">
        <f>IF(HLOOKUP("Mins",A1:CV300,143,FALSE)=0,0,HLOOKUP("SOT",A1:CV300,143,FALSE)/HLOOKUP("Mins",A1:CV300,143,FALSE)* 90)</f>
      </c>
      <c r="BG143" s="26347">
        <f>IF(HLOOKUP("Mins",A1:CV300,143,FALSE)=0,0,HLOOKUP("As",A1:CV300,143,FALSE)/HLOOKUP("Mins",A1:CV300,143,FALSE)* 90)</f>
      </c>
      <c r="BH143" s="26348">
        <f>IF(HLOOKUP("Mins",A1:CV300,143,FALSE)=0,0,HLOOKUP("FPL As",A1:CV300,143,FALSE)/HLOOKUP("Mins",A1:CV300,143,FALSE)* 90)</f>
      </c>
      <c r="BI143" s="26349">
        <f>IF(HLOOKUP("Mins",A1:CV300,143,FALSE)=0,0,HLOOKUP("BC Created",A1:CV300,143,FALSE)/HLOOKUP("Mins",A1:CV300,143,FALSE)* 90)</f>
      </c>
      <c r="BJ143" s="26350">
        <f>IF(HLOOKUP("Mins",A1:CV300,143,FALSE)=0,0,HLOOKUP("KP",A1:CV300,143,FALSE)/HLOOKUP("Mins",A1:CV300,143,FALSE)* 90)</f>
      </c>
      <c r="BK143" s="26351">
        <f>IF(HLOOKUP("Mins",A1:CV300,143,FALSE)=0,0,HLOOKUP("BC",A1:CV300,143,FALSE)/HLOOKUP("Mins",A1:CV300,143,FALSE)* 90)</f>
      </c>
      <c r="BL143" s="26352">
        <f>IF(HLOOKUP("Mins",A1:CV300,143,FALSE)=0,0,HLOOKUP("BC Miss",A1:CV300,143,FALSE)/HLOOKUP("Mins",A1:CV300,143,FALSE)* 90)</f>
      </c>
      <c r="BM143" s="26353">
        <f>IF(HLOOKUP("Mins",A1:CV300,143,FALSE)=0,0,HLOOKUP("Gs - BC",A1:CV300,143,FALSE)/HLOOKUP("Mins",A1:CV300,143,FALSE)* 90)</f>
      </c>
      <c r="BN143" s="26354">
        <f>IF(HLOOKUP("Mins",A1:CV300,143,FALSE)=0,0,HLOOKUP("GIB",A1:CV300,143,FALSE)/HLOOKUP("Mins",A1:CV300,143,FALSE)* 90)</f>
      </c>
      <c r="BO143" s="26355">
        <f>IF(HLOOKUP("Mins",A1:CV300,143,FALSE)=0,0,HLOOKUP("Gs - Open",A1:CV300,143,FALSE)/HLOOKUP("Mins",A1:CV300,143,FALSE)* 90)</f>
      </c>
      <c r="BP143" s="26356">
        <f>IF(HLOOKUP("Mins",A1:CV300,143,FALSE)=0,0,HLOOKUP("ICT Index",A1:CV300,143,FALSE)/HLOOKUP("Mins",A1:CV300,143,FALSE)* 90)</f>
      </c>
      <c r="BQ143" s="26357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6358">
        <f>0.0885*HLOOKUP("KP/90",A1:CV300,143,FALSE)</f>
      </c>
      <c r="BS143" s="26359">
        <f>5*HLOOKUP("xG/90",A1:CV300,143,FALSE)+3*HLOOKUP("xA/90",A1:CV300,143,FALSE)</f>
      </c>
      <c r="BT143" s="26360">
        <f>HLOOKUP("xPts/90",A1:CV300,143,FALSE)-(5*0.75*(HLOOKUP("PK Gs",A1:CV300,143,FALSE)+HLOOKUP("PK Miss",A1:CV300,143,FALSE))*90/HLOOKUP("Mins",A1:CV300,143,FALSE))</f>
      </c>
      <c r="BU143" s="26361">
        <f>IF(HLOOKUP("Mins",A1:CV300,143,FALSE)=0,0,HLOOKUP("fsXG",A1:CV300,143,FALSE)/HLOOKUP("Mins",A1:CV300,143,FALSE)* 90)</f>
      </c>
      <c r="BV143" s="26362">
        <f>IF(HLOOKUP("Mins",A1:CV300,143,FALSE)=0,0,HLOOKUP("fsXA",A1:CV300,143,FALSE)/HLOOKUP("Mins",A1:CV300,143,FALSE)* 90)</f>
      </c>
      <c r="BW143" s="26363">
        <f>5*HLOOKUP("fsXG/90",A1:CV300,143,FALSE)+3*HLOOKUP("fsXA/90",A1:CV300,143,FALSE)</f>
      </c>
      <c r="BX143" t="n" s="26364">
        <v>0.09159737825393677</v>
      </c>
      <c r="BY143" t="n" s="26365">
        <v>0.02948113903403282</v>
      </c>
      <c r="BZ143" s="26366">
        <f>5*HLOOKUP("uXG/90",A1:CV300,143,FALSE)+3*HLOOKUP("uXA/90",A1:CV300,143,FALSE)</f>
      </c>
    </row>
    <row r="144">
      <c r="A144" t="s" s="26367">
        <v>435</v>
      </c>
      <c r="B144" t="s" s="26368">
        <v>127</v>
      </c>
      <c r="C144" t="n" s="26369">
        <v>6.300000190734863</v>
      </c>
      <c r="D144" t="n" s="26370">
        <v>71.0</v>
      </c>
      <c r="E144" t="n" s="26371">
        <v>2.0</v>
      </c>
      <c r="F144" t="n" s="26372">
        <v>14.0</v>
      </c>
      <c r="G144" t="n" s="26373">
        <v>0.0</v>
      </c>
      <c r="H144" t="n" s="26374">
        <v>0.0</v>
      </c>
      <c r="I144" t="n" s="26375">
        <v>51.0</v>
      </c>
      <c r="J144" s="26376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6377">
        <v>0.0</v>
      </c>
      <c r="L144" t="n" s="26378">
        <v>1.0</v>
      </c>
      <c r="M144" t="n" s="26379">
        <v>1.0</v>
      </c>
      <c r="N144" t="n" s="26380">
        <v>1.0</v>
      </c>
      <c r="O144" t="n" s="26381">
        <v>1.0</v>
      </c>
      <c r="P144" s="26382">
        <f>IF(HLOOKUP("Shots",A1:CV300,144,FALSE)=0,0,HLOOKUP("SIB",A1:CV300,144,FALSE)/HLOOKUP("Shots",A1:CV300,144,FALSE))</f>
      </c>
      <c r="Q144" t="n" s="26383">
        <v>0.0</v>
      </c>
      <c r="R144" s="26384">
        <f>IF(HLOOKUP("Shots",A1:CV300,144,FALSE)=0,0,HLOOKUP("S6YD",A1:CV300,144,FALSE)/HLOOKUP("Shots",A1:CV300,144,FALSE))</f>
      </c>
      <c r="S144" t="n" s="26385">
        <v>0.0</v>
      </c>
      <c r="T144" s="26386">
        <f>IF(HLOOKUP("Shots",A1:CV300,144,FALSE)=0,0,HLOOKUP("Headers",A1:CV300,144,FALSE)/HLOOKUP("Shots",A1:CV300,144,FALSE))</f>
      </c>
      <c r="U144" t="n" s="26387">
        <v>0.0</v>
      </c>
      <c r="V144" s="26388">
        <f>IF(HLOOKUP("Shots",A1:CV300,144,FALSE)=0,0,HLOOKUP("SOT",A1:CV300,144,FALSE)/HLOOKUP("Shots",A1:CV300,144,FALSE))</f>
      </c>
      <c r="W144" s="26389">
        <f>IF(HLOOKUP("Shots",A1:CV300,144,FALSE)=0,0,HLOOKUP("Gs",A1:CV300,144,FALSE)/HLOOKUP("Shots",A1:CV300,144,FALSE))</f>
      </c>
      <c r="X144" t="n" s="26390">
        <v>0.0</v>
      </c>
      <c r="Y144" t="n" s="26391">
        <v>0.0</v>
      </c>
      <c r="Z144" t="n" s="26392">
        <v>1.0</v>
      </c>
      <c r="AA144" s="26393">
        <f>IF(HLOOKUP("KP",A1:CV300,144,FALSE)=0,0,HLOOKUP("As",A1:CV300,144,FALSE)/HLOOKUP("KP",A1:CV300,144,FALSE))</f>
      </c>
      <c r="AB144" s="26394"/>
      <c r="AC144" t="n" s="26395">
        <v>0.0</v>
      </c>
      <c r="AD144" t="n" s="26396">
        <v>0.0</v>
      </c>
      <c r="AE144" t="n" s="26397">
        <v>0.0</v>
      </c>
      <c r="AF144" t="n" s="26398">
        <v>0.0</v>
      </c>
      <c r="AG144" s="26399">
        <f>IF(HLOOKUP("BC",A1:CV300,144,FALSE)=0,0,HLOOKUP("Gs - BC",A1:CV300,144,FALSE)/HLOOKUP("BC",A1:CV300,144,FALSE))</f>
      </c>
      <c r="AH144" s="26400">
        <f>HLOOKUP("BC",A1:CV300,144,FALSE) - HLOOKUP("BC Miss",A1:CV300,144,FALSE)</f>
      </c>
      <c r="AI144" s="26401">
        <f>IF(HLOOKUP("Gs",A1:CV300,144,FALSE)=0,0,HLOOKUP("Gs - BC",A1:CV300,144,FALSE)/HLOOKUP("Gs",A1:CV300,144,FALSE))</f>
      </c>
      <c r="AJ144" t="n" s="26402">
        <v>0.0</v>
      </c>
      <c r="AK144" t="n" s="26403">
        <v>0.0</v>
      </c>
      <c r="AL144" s="26404">
        <f>HLOOKUP("BC",A1:CV300,144,FALSE) - (HLOOKUP("PK Gs",A1:CV300,144,FALSE) + HLOOKUP("PK Miss",A1:CV300,144,FALSE))</f>
      </c>
      <c r="AM144" s="26405">
        <f>HLOOKUP("BC Miss",A1:CV300,144,FALSE) - HLOOKUP("PK Miss",A1:CV300,144,FALSE)</f>
      </c>
      <c r="AN144" s="26406">
        <f>IF(HLOOKUP("BC - Open",A1:CV300,144,FALSE)=0,0,HLOOKUP("BC - Open Miss",A1:CV300,144,FALSE)/HLOOKUP("BC - Open",A1:CV300,144,FALSE))</f>
      </c>
      <c r="AO144" t="n" s="26407">
        <v>0.0</v>
      </c>
      <c r="AP144" s="26408">
        <f>IF(HLOOKUP("Gs",A1:CV300,144,FALSE)=0,0,HLOOKUP("GIB",A1:CV300,144,FALSE)/HLOOKUP("Gs",A1:CV300,144,FALSE))</f>
      </c>
      <c r="AQ144" t="n" s="26409">
        <v>0.0</v>
      </c>
      <c r="AR144" s="26410">
        <f>IF(HLOOKUP("Gs",A1:CV300,144,FALSE)=0,0,HLOOKUP("Gs - Open",A1:CV300,144,FALSE)/HLOOKUP("Gs",A1:CV300,144,FALSE))</f>
      </c>
      <c r="AS144" t="n" s="26411">
        <v>0.04</v>
      </c>
      <c r="AT144" t="n" s="26412">
        <v>0.15</v>
      </c>
      <c r="AU144" s="26413">
        <f>IF(HLOOKUP("Mins",A1:CV300,144,FALSE)=0,0,HLOOKUP("Pts",A1:CV300,144,FALSE)/HLOOKUP("Mins",A1:CV300,144,FALSE)* 90)</f>
      </c>
      <c r="AV144" s="26414">
        <f>IF(HLOOKUP("Apps",A1:CV300,144,FALSE)=0,0,HLOOKUP("Pts",A1:CV300,144,FALSE)/HLOOKUP("Apps",A1:CV300,144,FALSE)* 1)</f>
      </c>
      <c r="AW144" s="26415">
        <f>IF(HLOOKUP("Mins",A1:CV300,144,FALSE)=0,0,HLOOKUP("Gs",A1:CV300,144,FALSE)/HLOOKUP("Mins",A1:CV300,144,FALSE)* 90)</f>
      </c>
      <c r="AX144" s="26416">
        <f>IF(HLOOKUP("Mins",A1:CV300,144,FALSE)=0,0,HLOOKUP("Bonus",A1:CV300,144,FALSE)/HLOOKUP("Mins",A1:CV300,144,FALSE)* 90)</f>
      </c>
      <c r="AY144" s="26417">
        <f>IF(HLOOKUP("Mins",A1:CV300,144,FALSE)=0,0,HLOOKUP("BPS",A1:CV300,144,FALSE)/HLOOKUP("Mins",A1:CV300,144,FALSE)* 90)</f>
      </c>
      <c r="AZ144" s="26418">
        <f>IF(HLOOKUP("Mins",A1:CV300,144,FALSE)=0,0,HLOOKUP("Base BPS",A1:CV300,144,FALSE)/HLOOKUP("Mins",A1:CV300,144,FALSE)* 90)</f>
      </c>
      <c r="BA144" s="26419">
        <f>IF(HLOOKUP("Mins",A1:CV300,144,FALSE)=0,0,HLOOKUP("PenTchs",A1:CV300,144,FALSE)/HLOOKUP("Mins",A1:CV300,144,FALSE)* 90)</f>
      </c>
      <c r="BB144" s="26420">
        <f>IF(HLOOKUP("Mins",A1:CV300,144,FALSE)=0,0,HLOOKUP("Shots",A1:CV300,144,FALSE)/HLOOKUP("Mins",A1:CV300,144,FALSE)* 90)</f>
      </c>
      <c r="BC144" s="26421">
        <f>IF(HLOOKUP("Mins",A1:CV300,144,FALSE)=0,0,HLOOKUP("SIB",A1:CV300,144,FALSE)/HLOOKUP("Mins",A1:CV300,144,FALSE)* 90)</f>
      </c>
      <c r="BD144" s="26422">
        <f>IF(HLOOKUP("Mins",A1:CV300,144,FALSE)=0,0,HLOOKUP("S6YD",A1:CV300,144,FALSE)/HLOOKUP("Mins",A1:CV300,144,FALSE)* 90)</f>
      </c>
      <c r="BE144" s="26423">
        <f>IF(HLOOKUP("Mins",A1:CV300,144,FALSE)=0,0,HLOOKUP("Headers",A1:CV300,144,FALSE)/HLOOKUP("Mins",A1:CV300,144,FALSE)* 90)</f>
      </c>
      <c r="BF144" s="26424">
        <f>IF(HLOOKUP("Mins",A1:CV300,144,FALSE)=0,0,HLOOKUP("SOT",A1:CV300,144,FALSE)/HLOOKUP("Mins",A1:CV300,144,FALSE)* 90)</f>
      </c>
      <c r="BG144" s="26425">
        <f>IF(HLOOKUP("Mins",A1:CV300,144,FALSE)=0,0,HLOOKUP("As",A1:CV300,144,FALSE)/HLOOKUP("Mins",A1:CV300,144,FALSE)* 90)</f>
      </c>
      <c r="BH144" s="26426">
        <f>IF(HLOOKUP("Mins",A1:CV300,144,FALSE)=0,0,HLOOKUP("FPL As",A1:CV300,144,FALSE)/HLOOKUP("Mins",A1:CV300,144,FALSE)* 90)</f>
      </c>
      <c r="BI144" s="26427">
        <f>IF(HLOOKUP("Mins",A1:CV300,144,FALSE)=0,0,HLOOKUP("BC Created",A1:CV300,144,FALSE)/HLOOKUP("Mins",A1:CV300,144,FALSE)* 90)</f>
      </c>
      <c r="BJ144" s="26428">
        <f>IF(HLOOKUP("Mins",A1:CV300,144,FALSE)=0,0,HLOOKUP("KP",A1:CV300,144,FALSE)/HLOOKUP("Mins",A1:CV300,144,FALSE)* 90)</f>
      </c>
      <c r="BK144" s="26429">
        <f>IF(HLOOKUP("Mins",A1:CV300,144,FALSE)=0,0,HLOOKUP("BC",A1:CV300,144,FALSE)/HLOOKUP("Mins",A1:CV300,144,FALSE)* 90)</f>
      </c>
      <c r="BL144" s="26430">
        <f>IF(HLOOKUP("Mins",A1:CV300,144,FALSE)=0,0,HLOOKUP("BC Miss",A1:CV300,144,FALSE)/HLOOKUP("Mins",A1:CV300,144,FALSE)* 90)</f>
      </c>
      <c r="BM144" s="26431">
        <f>IF(HLOOKUP("Mins",A1:CV300,144,FALSE)=0,0,HLOOKUP("Gs - BC",A1:CV300,144,FALSE)/HLOOKUP("Mins",A1:CV300,144,FALSE)* 90)</f>
      </c>
      <c r="BN144" s="26432">
        <f>IF(HLOOKUP("Mins",A1:CV300,144,FALSE)=0,0,HLOOKUP("GIB",A1:CV300,144,FALSE)/HLOOKUP("Mins",A1:CV300,144,FALSE)* 90)</f>
      </c>
      <c r="BO144" s="26433">
        <f>IF(HLOOKUP("Mins",A1:CV300,144,FALSE)=0,0,HLOOKUP("Gs - Open",A1:CV300,144,FALSE)/HLOOKUP("Mins",A1:CV300,144,FALSE)* 90)</f>
      </c>
      <c r="BP144" s="26434">
        <f>IF(HLOOKUP("Mins",A1:CV300,144,FALSE)=0,0,HLOOKUP("ICT Index",A1:CV300,144,FALSE)/HLOOKUP("Mins",A1:CV300,144,FALSE)* 90)</f>
      </c>
      <c r="BQ144" s="26435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26436">
        <f>0.0885*HLOOKUP("KP/90",A1:CV300,144,FALSE)</f>
      </c>
      <c r="BS144" s="26437">
        <f>5*HLOOKUP("xG/90",A1:CV300,144,FALSE)+3*HLOOKUP("xA/90",A1:CV300,144,FALSE)</f>
      </c>
      <c r="BT144" s="26438">
        <f>HLOOKUP("xPts/90",A1:CV300,144,FALSE)-(5*0.75*(HLOOKUP("PK Gs",A1:CV300,144,FALSE)+HLOOKUP("PK Miss",A1:CV300,144,FALSE))*90/HLOOKUP("Mins",A1:CV300,144,FALSE))</f>
      </c>
      <c r="BU144" s="26439">
        <f>IF(HLOOKUP("Mins",A1:CV300,144,FALSE)=0,0,HLOOKUP("fsXG",A1:CV300,144,FALSE)/HLOOKUP("Mins",A1:CV300,144,FALSE)* 90)</f>
      </c>
      <c r="BV144" s="26440">
        <f>IF(HLOOKUP("Mins",A1:CV300,144,FALSE)=0,0,HLOOKUP("fsXA",A1:CV300,144,FALSE)/HLOOKUP("Mins",A1:CV300,144,FALSE)* 90)</f>
      </c>
      <c r="BW144" s="26441">
        <f>5*HLOOKUP("fsXG/90",A1:CV300,144,FALSE)+3*HLOOKUP("fsXA/90",A1:CV300,144,FALSE)</f>
      </c>
      <c r="BX144" t="n" s="26442">
        <v>0.06535584479570389</v>
      </c>
      <c r="BY144" t="n" s="26443">
        <v>0.07387825846672058</v>
      </c>
      <c r="BZ144" s="26444">
        <f>5*HLOOKUP("uXG/90",A1:CV300,144,FALSE)+3*HLOOKUP("uXA/90",A1:CV300,144,FALSE)</f>
      </c>
    </row>
    <row r="145">
      <c r="A145" t="s" s="26445">
        <v>436</v>
      </c>
      <c r="B145" t="s" s="26446">
        <v>127</v>
      </c>
      <c r="C145" t="n" s="26447">
        <v>12.399999618530273</v>
      </c>
      <c r="D145" t="n" s="26448">
        <v>429.0</v>
      </c>
      <c r="E145" t="n" s="26449">
        <v>5.0</v>
      </c>
      <c r="F145" t="n" s="26450">
        <v>143.0</v>
      </c>
      <c r="G145" t="n" s="26451">
        <v>2.0</v>
      </c>
      <c r="H145" t="n" s="26452">
        <v>18.0</v>
      </c>
      <c r="I145" t="n" s="26453">
        <v>416.0</v>
      </c>
      <c r="J145" s="26454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26455">
        <v>0.0</v>
      </c>
      <c r="L145" t="n" s="26456">
        <v>8.0</v>
      </c>
      <c r="M145" t="n" s="26457">
        <v>41.0</v>
      </c>
      <c r="N145" t="n" s="26458">
        <v>13.0</v>
      </c>
      <c r="O145" t="n" s="26459">
        <v>13.0</v>
      </c>
      <c r="P145" s="26460">
        <f>IF(HLOOKUP("Shots",A1:CV300,145,FALSE)=0,0,HLOOKUP("SIB",A1:CV300,145,FALSE)/HLOOKUP("Shots",A1:CV300,145,FALSE))</f>
      </c>
      <c r="Q145" t="n" s="26461">
        <v>3.0</v>
      </c>
      <c r="R145" s="26462">
        <f>IF(HLOOKUP("Shots",A1:CV300,145,FALSE)=0,0,HLOOKUP("S6YD",A1:CV300,145,FALSE)/HLOOKUP("Shots",A1:CV300,145,FALSE))</f>
      </c>
      <c r="S145" t="n" s="26463">
        <v>3.0</v>
      </c>
      <c r="T145" s="26464">
        <f>IF(HLOOKUP("Shots",A1:CV300,145,FALSE)=0,0,HLOOKUP("Headers",A1:CV300,145,FALSE)/HLOOKUP("Shots",A1:CV300,145,FALSE))</f>
      </c>
      <c r="U145" t="n" s="26465">
        <v>7.0</v>
      </c>
      <c r="V145" s="26466">
        <f>IF(HLOOKUP("Shots",A1:CV300,145,FALSE)=0,0,HLOOKUP("SOT",A1:CV300,145,FALSE)/HLOOKUP("Shots",A1:CV300,145,FALSE))</f>
      </c>
      <c r="W145" s="26467">
        <f>IF(HLOOKUP("Shots",A1:CV300,145,FALSE)=0,0,HLOOKUP("Gs",A1:CV300,145,FALSE)/HLOOKUP("Shots",A1:CV300,145,FALSE))</f>
      </c>
      <c r="X145" t="n" s="26468">
        <v>2.0</v>
      </c>
      <c r="Y145" t="n" s="26469">
        <v>8.0</v>
      </c>
      <c r="Z145" t="n" s="26470">
        <v>6.0</v>
      </c>
      <c r="AA145" s="26471">
        <f>IF(HLOOKUP("KP",A1:CV300,145,FALSE)=0,0,HLOOKUP("As",A1:CV300,145,FALSE)/HLOOKUP("KP",A1:CV300,145,FALSE))</f>
      </c>
      <c r="AB145" s="26472"/>
      <c r="AC145" t="n" s="26473">
        <v>40.0</v>
      </c>
      <c r="AD145" t="n" s="26474">
        <v>0.0</v>
      </c>
      <c r="AE145" t="n" s="26475">
        <v>5.0</v>
      </c>
      <c r="AF145" t="n" s="26476">
        <v>3.0</v>
      </c>
      <c r="AG145" s="26477">
        <f>IF(HLOOKUP("BC",A1:CV300,145,FALSE)=0,0,HLOOKUP("Gs - BC",A1:CV300,145,FALSE)/HLOOKUP("BC",A1:CV300,145,FALSE))</f>
      </c>
      <c r="AH145" s="26478">
        <f>HLOOKUP("BC",A1:CV300,145,FALSE) - HLOOKUP("BC Miss",A1:CV300,145,FALSE)</f>
      </c>
      <c r="AI145" s="26479">
        <f>IF(HLOOKUP("Gs",A1:CV300,145,FALSE)=0,0,HLOOKUP("Gs - BC",A1:CV300,145,FALSE)/HLOOKUP("Gs",A1:CV300,145,FALSE))</f>
      </c>
      <c r="AJ145" t="n" s="26480">
        <v>0.0</v>
      </c>
      <c r="AK145" t="n" s="26481">
        <v>0.0</v>
      </c>
      <c r="AL145" s="26482">
        <f>HLOOKUP("BC",A1:CV300,145,FALSE) - (HLOOKUP("PK Gs",A1:CV300,145,FALSE) + HLOOKUP("PK Miss",A1:CV300,145,FALSE))</f>
      </c>
      <c r="AM145" s="26483">
        <f>HLOOKUP("BC Miss",A1:CV300,145,FALSE) - HLOOKUP("PK Miss",A1:CV300,145,FALSE)</f>
      </c>
      <c r="AN145" s="26484">
        <f>IF(HLOOKUP("BC - Open",A1:CV300,145,FALSE)=0,0,HLOOKUP("BC - Open Miss",A1:CV300,145,FALSE)/HLOOKUP("BC - Open",A1:CV300,145,FALSE))</f>
      </c>
      <c r="AO145" t="n" s="26485">
        <v>2.0</v>
      </c>
      <c r="AP145" s="26486">
        <f>IF(HLOOKUP("Gs",A1:CV300,145,FALSE)=0,0,HLOOKUP("GIB",A1:CV300,145,FALSE)/HLOOKUP("Gs",A1:CV300,145,FALSE))</f>
      </c>
      <c r="AQ145" t="n" s="26487">
        <v>2.0</v>
      </c>
      <c r="AR145" s="26488">
        <f>IF(HLOOKUP("Gs",A1:CV300,145,FALSE)=0,0,HLOOKUP("Gs - Open",A1:CV300,145,FALSE)/HLOOKUP("Gs",A1:CV300,145,FALSE))</f>
      </c>
      <c r="AS145" t="n" s="26489">
        <v>3.59</v>
      </c>
      <c r="AT145" t="n" s="26490">
        <v>0.65</v>
      </c>
      <c r="AU145" s="26491">
        <f>IF(HLOOKUP("Mins",A1:CV300,145,FALSE)=0,0,HLOOKUP("Pts",A1:CV300,145,FALSE)/HLOOKUP("Mins",A1:CV300,145,FALSE)* 90)</f>
      </c>
      <c r="AV145" s="26492">
        <f>IF(HLOOKUP("Apps",A1:CV300,145,FALSE)=0,0,HLOOKUP("Pts",A1:CV300,145,FALSE)/HLOOKUP("Apps",A1:CV300,145,FALSE)* 1)</f>
      </c>
      <c r="AW145" s="26493">
        <f>IF(HLOOKUP("Mins",A1:CV300,145,FALSE)=0,0,HLOOKUP("Gs",A1:CV300,145,FALSE)/HLOOKUP("Mins",A1:CV300,145,FALSE)* 90)</f>
      </c>
      <c r="AX145" s="26494">
        <f>IF(HLOOKUP("Mins",A1:CV300,145,FALSE)=0,0,HLOOKUP("Bonus",A1:CV300,145,FALSE)/HLOOKUP("Mins",A1:CV300,145,FALSE)* 90)</f>
      </c>
      <c r="AY145" s="26495">
        <f>IF(HLOOKUP("Mins",A1:CV300,145,FALSE)=0,0,HLOOKUP("BPS",A1:CV300,145,FALSE)/HLOOKUP("Mins",A1:CV300,145,FALSE)* 90)</f>
      </c>
      <c r="AZ145" s="26496">
        <f>IF(HLOOKUP("Mins",A1:CV300,145,FALSE)=0,0,HLOOKUP("Base BPS",A1:CV300,145,FALSE)/HLOOKUP("Mins",A1:CV300,145,FALSE)* 90)</f>
      </c>
      <c r="BA145" s="26497">
        <f>IF(HLOOKUP("Mins",A1:CV300,145,FALSE)=0,0,HLOOKUP("PenTchs",A1:CV300,145,FALSE)/HLOOKUP("Mins",A1:CV300,145,FALSE)* 90)</f>
      </c>
      <c r="BB145" s="26498">
        <f>IF(HLOOKUP("Mins",A1:CV300,145,FALSE)=0,0,HLOOKUP("Shots",A1:CV300,145,FALSE)/HLOOKUP("Mins",A1:CV300,145,FALSE)* 90)</f>
      </c>
      <c r="BC145" s="26499">
        <f>IF(HLOOKUP("Mins",A1:CV300,145,FALSE)=0,0,HLOOKUP("SIB",A1:CV300,145,FALSE)/HLOOKUP("Mins",A1:CV300,145,FALSE)* 90)</f>
      </c>
      <c r="BD145" s="26500">
        <f>IF(HLOOKUP("Mins",A1:CV300,145,FALSE)=0,0,HLOOKUP("S6YD",A1:CV300,145,FALSE)/HLOOKUP("Mins",A1:CV300,145,FALSE)* 90)</f>
      </c>
      <c r="BE145" s="26501">
        <f>IF(HLOOKUP("Mins",A1:CV300,145,FALSE)=0,0,HLOOKUP("Headers",A1:CV300,145,FALSE)/HLOOKUP("Mins",A1:CV300,145,FALSE)* 90)</f>
      </c>
      <c r="BF145" s="26502">
        <f>IF(HLOOKUP("Mins",A1:CV300,145,FALSE)=0,0,HLOOKUP("SOT",A1:CV300,145,FALSE)/HLOOKUP("Mins",A1:CV300,145,FALSE)* 90)</f>
      </c>
      <c r="BG145" s="26503">
        <f>IF(HLOOKUP("Mins",A1:CV300,145,FALSE)=0,0,HLOOKUP("As",A1:CV300,145,FALSE)/HLOOKUP("Mins",A1:CV300,145,FALSE)* 90)</f>
      </c>
      <c r="BH145" s="26504">
        <f>IF(HLOOKUP("Mins",A1:CV300,145,FALSE)=0,0,HLOOKUP("FPL As",A1:CV300,145,FALSE)/HLOOKUP("Mins",A1:CV300,145,FALSE)* 90)</f>
      </c>
      <c r="BI145" s="26505">
        <f>IF(HLOOKUP("Mins",A1:CV300,145,FALSE)=0,0,HLOOKUP("BC Created",A1:CV300,145,FALSE)/HLOOKUP("Mins",A1:CV300,145,FALSE)* 90)</f>
      </c>
      <c r="BJ145" s="26506">
        <f>IF(HLOOKUP("Mins",A1:CV300,145,FALSE)=0,0,HLOOKUP("KP",A1:CV300,145,FALSE)/HLOOKUP("Mins",A1:CV300,145,FALSE)* 90)</f>
      </c>
      <c r="BK145" s="26507">
        <f>IF(HLOOKUP("Mins",A1:CV300,145,FALSE)=0,0,HLOOKUP("BC",A1:CV300,145,FALSE)/HLOOKUP("Mins",A1:CV300,145,FALSE)* 90)</f>
      </c>
      <c r="BL145" s="26508">
        <f>IF(HLOOKUP("Mins",A1:CV300,145,FALSE)=0,0,HLOOKUP("BC Miss",A1:CV300,145,FALSE)/HLOOKUP("Mins",A1:CV300,145,FALSE)* 90)</f>
      </c>
      <c r="BM145" s="26509">
        <f>IF(HLOOKUP("Mins",A1:CV300,145,FALSE)=0,0,HLOOKUP("Gs - BC",A1:CV300,145,FALSE)/HLOOKUP("Mins",A1:CV300,145,FALSE)* 90)</f>
      </c>
      <c r="BN145" s="26510">
        <f>IF(HLOOKUP("Mins",A1:CV300,145,FALSE)=0,0,HLOOKUP("GIB",A1:CV300,145,FALSE)/HLOOKUP("Mins",A1:CV300,145,FALSE)* 90)</f>
      </c>
      <c r="BO145" s="26511">
        <f>IF(HLOOKUP("Mins",A1:CV300,145,FALSE)=0,0,HLOOKUP("Gs - Open",A1:CV300,145,FALSE)/HLOOKUP("Mins",A1:CV300,145,FALSE)* 90)</f>
      </c>
      <c r="BP145" s="26512">
        <f>IF(HLOOKUP("Mins",A1:CV300,145,FALSE)=0,0,HLOOKUP("ICT Index",A1:CV300,145,FALSE)/HLOOKUP("Mins",A1:CV300,145,FALSE)* 90)</f>
      </c>
      <c r="BQ145" s="26513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26514">
        <f>0.0885*HLOOKUP("KP/90",A1:CV300,145,FALSE)</f>
      </c>
      <c r="BS145" s="26515">
        <f>5*HLOOKUP("xG/90",A1:CV300,145,FALSE)+3*HLOOKUP("xA/90",A1:CV300,145,FALSE)</f>
      </c>
      <c r="BT145" s="26516">
        <f>HLOOKUP("xPts/90",A1:CV300,145,FALSE)-(5*0.75*(HLOOKUP("PK Gs",A1:CV300,145,FALSE)+HLOOKUP("PK Miss",A1:CV300,145,FALSE))*90/HLOOKUP("Mins",A1:CV300,145,FALSE))</f>
      </c>
      <c r="BU145" s="26517">
        <f>IF(HLOOKUP("Mins",A1:CV300,145,FALSE)=0,0,HLOOKUP("fsXG",A1:CV300,145,FALSE)/HLOOKUP("Mins",A1:CV300,145,FALSE)* 90)</f>
      </c>
      <c r="BV145" s="26518">
        <f>IF(HLOOKUP("Mins",A1:CV300,145,FALSE)=0,0,HLOOKUP("fsXA",A1:CV300,145,FALSE)/HLOOKUP("Mins",A1:CV300,145,FALSE)* 90)</f>
      </c>
      <c r="BW145" s="26519">
        <f>5*HLOOKUP("fsXG/90",A1:CV300,145,FALSE)+3*HLOOKUP("fsXA/90",A1:CV300,145,FALSE)</f>
      </c>
      <c r="BX145" t="n" s="26520">
        <v>0.8261495232582092</v>
      </c>
      <c r="BY145" t="n" s="26521">
        <v>0.08971210569143295</v>
      </c>
      <c r="BZ145" s="26522">
        <f>5*HLOOKUP("uXG/90",A1:CV300,145,FALSE)+3*HLOOKUP("uXA/90",A1:CV300,145,FALSE)</f>
      </c>
    </row>
    <row r="146">
      <c r="A146" t="s" s="26523">
        <v>437</v>
      </c>
      <c r="B146" t="s" s="26524">
        <v>94</v>
      </c>
      <c r="C146" t="n" s="26525">
        <v>5.400000095367432</v>
      </c>
      <c r="D146" t="n" s="26526">
        <v>236.0</v>
      </c>
      <c r="E146" t="n" s="26527">
        <v>3.0</v>
      </c>
      <c r="F146" t="n" s="26528">
        <v>7.0</v>
      </c>
      <c r="G146" t="n" s="26529">
        <v>0.0</v>
      </c>
      <c r="H146" t="n" s="26530">
        <v>0.0</v>
      </c>
      <c r="I146" t="n" s="26531">
        <v>33.0</v>
      </c>
      <c r="J146" s="26532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26533">
        <v>0.0</v>
      </c>
      <c r="L146" t="n" s="26534">
        <v>0.0</v>
      </c>
      <c r="M146" t="n" s="26535">
        <v>8.0</v>
      </c>
      <c r="N146" t="n" s="26536">
        <v>1.0</v>
      </c>
      <c r="O146" t="n" s="26537">
        <v>1.0</v>
      </c>
      <c r="P146" s="26538">
        <f>IF(HLOOKUP("Shots",A1:CV300,146,FALSE)=0,0,HLOOKUP("SIB",A1:CV300,146,FALSE)/HLOOKUP("Shots",A1:CV300,146,FALSE))</f>
      </c>
      <c r="Q146" t="n" s="26539">
        <v>0.0</v>
      </c>
      <c r="R146" s="26540">
        <f>IF(HLOOKUP("Shots",A1:CV300,146,FALSE)=0,0,HLOOKUP("S6YD",A1:CV300,146,FALSE)/HLOOKUP("Shots",A1:CV300,146,FALSE))</f>
      </c>
      <c r="S146" t="n" s="26541">
        <v>0.0</v>
      </c>
      <c r="T146" s="26542">
        <f>IF(HLOOKUP("Shots",A1:CV300,146,FALSE)=0,0,HLOOKUP("Headers",A1:CV300,146,FALSE)/HLOOKUP("Shots",A1:CV300,146,FALSE))</f>
      </c>
      <c r="U146" t="n" s="26543">
        <v>0.0</v>
      </c>
      <c r="V146" s="26544">
        <f>IF(HLOOKUP("Shots",A1:CV300,146,FALSE)=0,0,HLOOKUP("SOT",A1:CV300,146,FALSE)/HLOOKUP("Shots",A1:CV300,146,FALSE))</f>
      </c>
      <c r="W146" s="26545">
        <f>IF(HLOOKUP("Shots",A1:CV300,146,FALSE)=0,0,HLOOKUP("Gs",A1:CV300,146,FALSE)/HLOOKUP("Shots",A1:CV300,146,FALSE))</f>
      </c>
      <c r="X146" t="n" s="26546">
        <v>0.0</v>
      </c>
      <c r="Y146" t="n" s="26547">
        <v>0.0</v>
      </c>
      <c r="Z146" t="n" s="26548">
        <v>2.0</v>
      </c>
      <c r="AA146" s="26549">
        <f>IF(HLOOKUP("KP",A1:CV300,146,FALSE)=0,0,HLOOKUP("As",A1:CV300,146,FALSE)/HLOOKUP("KP",A1:CV300,146,FALSE))</f>
      </c>
      <c r="AB146" s="26550"/>
      <c r="AC146" t="n" s="26551">
        <v>0.0</v>
      </c>
      <c r="AD146" t="n" s="26552">
        <v>0.0</v>
      </c>
      <c r="AE146" t="n" s="26553">
        <v>0.0</v>
      </c>
      <c r="AF146" t="n" s="26554">
        <v>0.0</v>
      </c>
      <c r="AG146" s="26555">
        <f>IF(HLOOKUP("BC",A1:CV300,146,FALSE)=0,0,HLOOKUP("Gs - BC",A1:CV300,146,FALSE)/HLOOKUP("BC",A1:CV300,146,FALSE))</f>
      </c>
      <c r="AH146" s="26556">
        <f>HLOOKUP("BC",A1:CV300,146,FALSE) - HLOOKUP("BC Miss",A1:CV300,146,FALSE)</f>
      </c>
      <c r="AI146" s="26557">
        <f>IF(HLOOKUP("Gs",A1:CV300,146,FALSE)=0,0,HLOOKUP("Gs - BC",A1:CV300,146,FALSE)/HLOOKUP("Gs",A1:CV300,146,FALSE))</f>
      </c>
      <c r="AJ146" t="n" s="26558">
        <v>0.0</v>
      </c>
      <c r="AK146" t="n" s="26559">
        <v>0.0</v>
      </c>
      <c r="AL146" s="26560">
        <f>HLOOKUP("BC",A1:CV300,146,FALSE) - (HLOOKUP("PK Gs",A1:CV300,146,FALSE) + HLOOKUP("PK Miss",A1:CV300,146,FALSE))</f>
      </c>
      <c r="AM146" s="26561">
        <f>HLOOKUP("BC Miss",A1:CV300,146,FALSE) - HLOOKUP("PK Miss",A1:CV300,146,FALSE)</f>
      </c>
      <c r="AN146" s="26562">
        <f>IF(HLOOKUP("BC - Open",A1:CV300,146,FALSE)=0,0,HLOOKUP("BC - Open Miss",A1:CV300,146,FALSE)/HLOOKUP("BC - Open",A1:CV300,146,FALSE))</f>
      </c>
      <c r="AO146" t="n" s="26563">
        <v>0.0</v>
      </c>
      <c r="AP146" s="26564">
        <f>IF(HLOOKUP("Gs",A1:CV300,146,FALSE)=0,0,HLOOKUP("GIB",A1:CV300,146,FALSE)/HLOOKUP("Gs",A1:CV300,146,FALSE))</f>
      </c>
      <c r="AQ146" t="n" s="26565">
        <v>0.0</v>
      </c>
      <c r="AR146" s="26566">
        <f>IF(HLOOKUP("Gs",A1:CV300,146,FALSE)=0,0,HLOOKUP("Gs - Open",A1:CV300,146,FALSE)/HLOOKUP("Gs",A1:CV300,146,FALSE))</f>
      </c>
      <c r="AS146" t="n" s="26567">
        <v>0.07</v>
      </c>
      <c r="AT146" t="n" s="26568">
        <v>0.11</v>
      </c>
      <c r="AU146" s="26569">
        <f>IF(HLOOKUP("Mins",A1:CV300,146,FALSE)=0,0,HLOOKUP("Pts",A1:CV300,146,FALSE)/HLOOKUP("Mins",A1:CV300,146,FALSE)* 90)</f>
      </c>
      <c r="AV146" s="26570">
        <f>IF(HLOOKUP("Apps",A1:CV300,146,FALSE)=0,0,HLOOKUP("Pts",A1:CV300,146,FALSE)/HLOOKUP("Apps",A1:CV300,146,FALSE)* 1)</f>
      </c>
      <c r="AW146" s="26571">
        <f>IF(HLOOKUP("Mins",A1:CV300,146,FALSE)=0,0,HLOOKUP("Gs",A1:CV300,146,FALSE)/HLOOKUP("Mins",A1:CV300,146,FALSE)* 90)</f>
      </c>
      <c r="AX146" s="26572">
        <f>IF(HLOOKUP("Mins",A1:CV300,146,FALSE)=0,0,HLOOKUP("Bonus",A1:CV300,146,FALSE)/HLOOKUP("Mins",A1:CV300,146,FALSE)* 90)</f>
      </c>
      <c r="AY146" s="26573">
        <f>IF(HLOOKUP("Mins",A1:CV300,146,FALSE)=0,0,HLOOKUP("BPS",A1:CV300,146,FALSE)/HLOOKUP("Mins",A1:CV300,146,FALSE)* 90)</f>
      </c>
      <c r="AZ146" s="26574">
        <f>IF(HLOOKUP("Mins",A1:CV300,146,FALSE)=0,0,HLOOKUP("Base BPS",A1:CV300,146,FALSE)/HLOOKUP("Mins",A1:CV300,146,FALSE)* 90)</f>
      </c>
      <c r="BA146" s="26575">
        <f>IF(HLOOKUP("Mins",A1:CV300,146,FALSE)=0,0,HLOOKUP("PenTchs",A1:CV300,146,FALSE)/HLOOKUP("Mins",A1:CV300,146,FALSE)* 90)</f>
      </c>
      <c r="BB146" s="26576">
        <f>IF(HLOOKUP("Mins",A1:CV300,146,FALSE)=0,0,HLOOKUP("Shots",A1:CV300,146,FALSE)/HLOOKUP("Mins",A1:CV300,146,FALSE)* 90)</f>
      </c>
      <c r="BC146" s="26577">
        <f>IF(HLOOKUP("Mins",A1:CV300,146,FALSE)=0,0,HLOOKUP("SIB",A1:CV300,146,FALSE)/HLOOKUP("Mins",A1:CV300,146,FALSE)* 90)</f>
      </c>
      <c r="BD146" s="26578">
        <f>IF(HLOOKUP("Mins",A1:CV300,146,FALSE)=0,0,HLOOKUP("S6YD",A1:CV300,146,FALSE)/HLOOKUP("Mins",A1:CV300,146,FALSE)* 90)</f>
      </c>
      <c r="BE146" s="26579">
        <f>IF(HLOOKUP("Mins",A1:CV300,146,FALSE)=0,0,HLOOKUP("Headers",A1:CV300,146,FALSE)/HLOOKUP("Mins",A1:CV300,146,FALSE)* 90)</f>
      </c>
      <c r="BF146" s="26580">
        <f>IF(HLOOKUP("Mins",A1:CV300,146,FALSE)=0,0,HLOOKUP("SOT",A1:CV300,146,FALSE)/HLOOKUP("Mins",A1:CV300,146,FALSE)* 90)</f>
      </c>
      <c r="BG146" s="26581">
        <f>IF(HLOOKUP("Mins",A1:CV300,146,FALSE)=0,0,HLOOKUP("As",A1:CV300,146,FALSE)/HLOOKUP("Mins",A1:CV300,146,FALSE)* 90)</f>
      </c>
      <c r="BH146" s="26582">
        <f>IF(HLOOKUP("Mins",A1:CV300,146,FALSE)=0,0,HLOOKUP("FPL As",A1:CV300,146,FALSE)/HLOOKUP("Mins",A1:CV300,146,FALSE)* 90)</f>
      </c>
      <c r="BI146" s="26583">
        <f>IF(HLOOKUP("Mins",A1:CV300,146,FALSE)=0,0,HLOOKUP("BC Created",A1:CV300,146,FALSE)/HLOOKUP("Mins",A1:CV300,146,FALSE)* 90)</f>
      </c>
      <c r="BJ146" s="26584">
        <f>IF(HLOOKUP("Mins",A1:CV300,146,FALSE)=0,0,HLOOKUP("KP",A1:CV300,146,FALSE)/HLOOKUP("Mins",A1:CV300,146,FALSE)* 90)</f>
      </c>
      <c r="BK146" s="26585">
        <f>IF(HLOOKUP("Mins",A1:CV300,146,FALSE)=0,0,HLOOKUP("BC",A1:CV300,146,FALSE)/HLOOKUP("Mins",A1:CV300,146,FALSE)* 90)</f>
      </c>
      <c r="BL146" s="26586">
        <f>IF(HLOOKUP("Mins",A1:CV300,146,FALSE)=0,0,HLOOKUP("BC Miss",A1:CV300,146,FALSE)/HLOOKUP("Mins",A1:CV300,146,FALSE)* 90)</f>
      </c>
      <c r="BM146" s="26587">
        <f>IF(HLOOKUP("Mins",A1:CV300,146,FALSE)=0,0,HLOOKUP("Gs - BC",A1:CV300,146,FALSE)/HLOOKUP("Mins",A1:CV300,146,FALSE)* 90)</f>
      </c>
      <c r="BN146" s="26588">
        <f>IF(HLOOKUP("Mins",A1:CV300,146,FALSE)=0,0,HLOOKUP("GIB",A1:CV300,146,FALSE)/HLOOKUP("Mins",A1:CV300,146,FALSE)* 90)</f>
      </c>
      <c r="BO146" s="26589">
        <f>IF(HLOOKUP("Mins",A1:CV300,146,FALSE)=0,0,HLOOKUP("Gs - Open",A1:CV300,146,FALSE)/HLOOKUP("Mins",A1:CV300,146,FALSE)* 90)</f>
      </c>
      <c r="BP146" s="26590">
        <f>IF(HLOOKUP("Mins",A1:CV300,146,FALSE)=0,0,HLOOKUP("ICT Index",A1:CV300,146,FALSE)/HLOOKUP("Mins",A1:CV300,146,FALSE)* 90)</f>
      </c>
      <c r="BQ146" s="26591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26592">
        <f>0.0885*HLOOKUP("KP/90",A1:CV300,146,FALSE)</f>
      </c>
      <c r="BS146" s="26593">
        <f>5*HLOOKUP("xG/90",A1:CV300,146,FALSE)+3*HLOOKUP("xA/90",A1:CV300,146,FALSE)</f>
      </c>
      <c r="BT146" s="26594">
        <f>HLOOKUP("xPts/90",A1:CV300,146,FALSE)-(5*0.75*(HLOOKUP("PK Gs",A1:CV300,146,FALSE)+HLOOKUP("PK Miss",A1:CV300,146,FALSE))*90/HLOOKUP("Mins",A1:CV300,146,FALSE))</f>
      </c>
      <c r="BU146" s="26595">
        <f>IF(HLOOKUP("Mins",A1:CV300,146,FALSE)=0,0,HLOOKUP("fsXG",A1:CV300,146,FALSE)/HLOOKUP("Mins",A1:CV300,146,FALSE)* 90)</f>
      </c>
      <c r="BV146" s="26596">
        <f>IF(HLOOKUP("Mins",A1:CV300,146,FALSE)=0,0,HLOOKUP("fsXA",A1:CV300,146,FALSE)/HLOOKUP("Mins",A1:CV300,146,FALSE)* 90)</f>
      </c>
      <c r="BW146" s="26597">
        <f>5*HLOOKUP("fsXG/90",A1:CV300,146,FALSE)+3*HLOOKUP("fsXA/90",A1:CV300,146,FALSE)</f>
      </c>
      <c r="BX146" t="n" s="26598">
        <v>0.035028859972953796</v>
      </c>
      <c r="BY146" t="n" s="26599">
        <v>0.018132103607058525</v>
      </c>
      <c r="BZ146" s="26600">
        <f>5*HLOOKUP("uXG/90",A1:CV300,146,FALSE)+3*HLOOKUP("uXA/90",A1:CV300,146,FALSE)</f>
      </c>
    </row>
    <row r="147">
      <c r="A147" t="s" s="26601">
        <v>438</v>
      </c>
      <c r="B147" t="s" s="26602">
        <v>92</v>
      </c>
      <c r="C147" t="n" s="26603">
        <v>4.900000095367432</v>
      </c>
      <c r="D147" t="n" s="26604">
        <v>467.0</v>
      </c>
      <c r="E147" t="n" s="26605">
        <v>6.0</v>
      </c>
      <c r="F147" t="n" s="26606">
        <v>25.0</v>
      </c>
      <c r="G147" t="n" s="26607">
        <v>2.0</v>
      </c>
      <c r="H147" t="n" s="26608">
        <v>1.0</v>
      </c>
      <c r="I147" t="n" s="26609">
        <v>88.0</v>
      </c>
      <c r="J147" s="26610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26611">
        <v>0.0</v>
      </c>
      <c r="L147" t="n" s="26612">
        <v>1.0</v>
      </c>
      <c r="M147" t="n" s="26613">
        <v>12.0</v>
      </c>
      <c r="N147" t="n" s="26614">
        <v>4.0</v>
      </c>
      <c r="O147" t="n" s="26615">
        <v>4.0</v>
      </c>
      <c r="P147" s="26616">
        <f>IF(HLOOKUP("Shots",A1:CV300,147,FALSE)=0,0,HLOOKUP("SIB",A1:CV300,147,FALSE)/HLOOKUP("Shots",A1:CV300,147,FALSE))</f>
      </c>
      <c r="Q147" t="n" s="26617">
        <v>1.0</v>
      </c>
      <c r="R147" s="26618">
        <f>IF(HLOOKUP("Shots",A1:CV300,147,FALSE)=0,0,HLOOKUP("S6YD",A1:CV300,147,FALSE)/HLOOKUP("Shots",A1:CV300,147,FALSE))</f>
      </c>
      <c r="S147" t="n" s="26619">
        <v>0.0</v>
      </c>
      <c r="T147" s="26620">
        <f>IF(HLOOKUP("Shots",A1:CV300,147,FALSE)=0,0,HLOOKUP("Headers",A1:CV300,147,FALSE)/HLOOKUP("Shots",A1:CV300,147,FALSE))</f>
      </c>
      <c r="U147" t="n" s="26621">
        <v>2.0</v>
      </c>
      <c r="V147" s="26622">
        <f>IF(HLOOKUP("Shots",A1:CV300,147,FALSE)=0,0,HLOOKUP("SOT",A1:CV300,147,FALSE)/HLOOKUP("Shots",A1:CV300,147,FALSE))</f>
      </c>
      <c r="W147" s="26623">
        <f>IF(HLOOKUP("Shots",A1:CV300,147,FALSE)=0,0,HLOOKUP("Gs",A1:CV300,147,FALSE)/HLOOKUP("Shots",A1:CV300,147,FALSE))</f>
      </c>
      <c r="X147" t="n" s="26624">
        <v>0.0</v>
      </c>
      <c r="Y147" t="n" s="26625">
        <v>0.0</v>
      </c>
      <c r="Z147" t="n" s="26626">
        <v>2.0</v>
      </c>
      <c r="AA147" s="26627">
        <f>IF(HLOOKUP("KP",A1:CV300,147,FALSE)=0,0,HLOOKUP("As",A1:CV300,147,FALSE)/HLOOKUP("KP",A1:CV300,147,FALSE))</f>
      </c>
      <c r="AB147" s="26628"/>
      <c r="AC147" t="n" s="26629">
        <v>100.0</v>
      </c>
      <c r="AD147" t="n" s="26630">
        <v>0.0</v>
      </c>
      <c r="AE147" t="n" s="26631">
        <v>2.0</v>
      </c>
      <c r="AF147" t="n" s="26632">
        <v>0.0</v>
      </c>
      <c r="AG147" s="26633">
        <f>IF(HLOOKUP("BC",A1:CV300,147,FALSE)=0,0,HLOOKUP("Gs - BC",A1:CV300,147,FALSE)/HLOOKUP("BC",A1:CV300,147,FALSE))</f>
      </c>
      <c r="AH147" s="26634">
        <f>HLOOKUP("BC",A1:CV300,147,FALSE) - HLOOKUP("BC Miss",A1:CV300,147,FALSE)</f>
      </c>
      <c r="AI147" s="26635">
        <f>IF(HLOOKUP("Gs",A1:CV300,147,FALSE)=0,0,HLOOKUP("Gs - BC",A1:CV300,147,FALSE)/HLOOKUP("Gs",A1:CV300,147,FALSE))</f>
      </c>
      <c r="AJ147" t="n" s="26636">
        <v>0.0</v>
      </c>
      <c r="AK147" t="n" s="26637">
        <v>0.0</v>
      </c>
      <c r="AL147" s="26638">
        <f>HLOOKUP("BC",A1:CV300,147,FALSE) - (HLOOKUP("PK Gs",A1:CV300,147,FALSE) + HLOOKUP("PK Miss",A1:CV300,147,FALSE))</f>
      </c>
      <c r="AM147" s="26639">
        <f>HLOOKUP("BC Miss",A1:CV300,147,FALSE) - HLOOKUP("PK Miss",A1:CV300,147,FALSE)</f>
      </c>
      <c r="AN147" s="26640">
        <f>IF(HLOOKUP("BC - Open",A1:CV300,147,FALSE)=0,0,HLOOKUP("BC - Open Miss",A1:CV300,147,FALSE)/HLOOKUP("BC - Open",A1:CV300,147,FALSE))</f>
      </c>
      <c r="AO147" t="n" s="26641">
        <v>2.0</v>
      </c>
      <c r="AP147" s="26642">
        <f>IF(HLOOKUP("Gs",A1:CV300,147,FALSE)=0,0,HLOOKUP("GIB",A1:CV300,147,FALSE)/HLOOKUP("Gs",A1:CV300,147,FALSE))</f>
      </c>
      <c r="AQ147" t="n" s="26643">
        <v>1.0</v>
      </c>
      <c r="AR147" s="26644">
        <f>IF(HLOOKUP("Gs",A1:CV300,147,FALSE)=0,0,HLOOKUP("Gs - Open",A1:CV300,147,FALSE)/HLOOKUP("Gs",A1:CV300,147,FALSE))</f>
      </c>
      <c r="AS147" t="n" s="26645">
        <v>1.1</v>
      </c>
      <c r="AT147" t="n" s="26646">
        <v>0.09</v>
      </c>
      <c r="AU147" s="26647">
        <f>IF(HLOOKUP("Mins",A1:CV300,147,FALSE)=0,0,HLOOKUP("Pts",A1:CV300,147,FALSE)/HLOOKUP("Mins",A1:CV300,147,FALSE)* 90)</f>
      </c>
      <c r="AV147" s="26648">
        <f>IF(HLOOKUP("Apps",A1:CV300,147,FALSE)=0,0,HLOOKUP("Pts",A1:CV300,147,FALSE)/HLOOKUP("Apps",A1:CV300,147,FALSE)* 1)</f>
      </c>
      <c r="AW147" s="26649">
        <f>IF(HLOOKUP("Mins",A1:CV300,147,FALSE)=0,0,HLOOKUP("Gs",A1:CV300,147,FALSE)/HLOOKUP("Mins",A1:CV300,147,FALSE)* 90)</f>
      </c>
      <c r="AX147" s="26650">
        <f>IF(HLOOKUP("Mins",A1:CV300,147,FALSE)=0,0,HLOOKUP("Bonus",A1:CV300,147,FALSE)/HLOOKUP("Mins",A1:CV300,147,FALSE)* 90)</f>
      </c>
      <c r="AY147" s="26651">
        <f>IF(HLOOKUP("Mins",A1:CV300,147,FALSE)=0,0,HLOOKUP("BPS",A1:CV300,147,FALSE)/HLOOKUP("Mins",A1:CV300,147,FALSE)* 90)</f>
      </c>
      <c r="AZ147" s="26652">
        <f>IF(HLOOKUP("Mins",A1:CV300,147,FALSE)=0,0,HLOOKUP("Base BPS",A1:CV300,147,FALSE)/HLOOKUP("Mins",A1:CV300,147,FALSE)* 90)</f>
      </c>
      <c r="BA147" s="26653">
        <f>IF(HLOOKUP("Mins",A1:CV300,147,FALSE)=0,0,HLOOKUP("PenTchs",A1:CV300,147,FALSE)/HLOOKUP("Mins",A1:CV300,147,FALSE)* 90)</f>
      </c>
      <c r="BB147" s="26654">
        <f>IF(HLOOKUP("Mins",A1:CV300,147,FALSE)=0,0,HLOOKUP("Shots",A1:CV300,147,FALSE)/HLOOKUP("Mins",A1:CV300,147,FALSE)* 90)</f>
      </c>
      <c r="BC147" s="26655">
        <f>IF(HLOOKUP("Mins",A1:CV300,147,FALSE)=0,0,HLOOKUP("SIB",A1:CV300,147,FALSE)/HLOOKUP("Mins",A1:CV300,147,FALSE)* 90)</f>
      </c>
      <c r="BD147" s="26656">
        <f>IF(HLOOKUP("Mins",A1:CV300,147,FALSE)=0,0,HLOOKUP("S6YD",A1:CV300,147,FALSE)/HLOOKUP("Mins",A1:CV300,147,FALSE)* 90)</f>
      </c>
      <c r="BE147" s="26657">
        <f>IF(HLOOKUP("Mins",A1:CV300,147,FALSE)=0,0,HLOOKUP("Headers",A1:CV300,147,FALSE)/HLOOKUP("Mins",A1:CV300,147,FALSE)* 90)</f>
      </c>
      <c r="BF147" s="26658">
        <f>IF(HLOOKUP("Mins",A1:CV300,147,FALSE)=0,0,HLOOKUP("SOT",A1:CV300,147,FALSE)/HLOOKUP("Mins",A1:CV300,147,FALSE)* 90)</f>
      </c>
      <c r="BG147" s="26659">
        <f>IF(HLOOKUP("Mins",A1:CV300,147,FALSE)=0,0,HLOOKUP("As",A1:CV300,147,FALSE)/HLOOKUP("Mins",A1:CV300,147,FALSE)* 90)</f>
      </c>
      <c r="BH147" s="26660">
        <f>IF(HLOOKUP("Mins",A1:CV300,147,FALSE)=0,0,HLOOKUP("FPL As",A1:CV300,147,FALSE)/HLOOKUP("Mins",A1:CV300,147,FALSE)* 90)</f>
      </c>
      <c r="BI147" s="26661">
        <f>IF(HLOOKUP("Mins",A1:CV300,147,FALSE)=0,0,HLOOKUP("BC Created",A1:CV300,147,FALSE)/HLOOKUP("Mins",A1:CV300,147,FALSE)* 90)</f>
      </c>
      <c r="BJ147" s="26662">
        <f>IF(HLOOKUP("Mins",A1:CV300,147,FALSE)=0,0,HLOOKUP("KP",A1:CV300,147,FALSE)/HLOOKUP("Mins",A1:CV300,147,FALSE)* 90)</f>
      </c>
      <c r="BK147" s="26663">
        <f>IF(HLOOKUP("Mins",A1:CV300,147,FALSE)=0,0,HLOOKUP("BC",A1:CV300,147,FALSE)/HLOOKUP("Mins",A1:CV300,147,FALSE)* 90)</f>
      </c>
      <c r="BL147" s="26664">
        <f>IF(HLOOKUP("Mins",A1:CV300,147,FALSE)=0,0,HLOOKUP("BC Miss",A1:CV300,147,FALSE)/HLOOKUP("Mins",A1:CV300,147,FALSE)* 90)</f>
      </c>
      <c r="BM147" s="26665">
        <f>IF(HLOOKUP("Mins",A1:CV300,147,FALSE)=0,0,HLOOKUP("Gs - BC",A1:CV300,147,FALSE)/HLOOKUP("Mins",A1:CV300,147,FALSE)* 90)</f>
      </c>
      <c r="BN147" s="26666">
        <f>IF(HLOOKUP("Mins",A1:CV300,147,FALSE)=0,0,HLOOKUP("GIB",A1:CV300,147,FALSE)/HLOOKUP("Mins",A1:CV300,147,FALSE)* 90)</f>
      </c>
      <c r="BO147" s="26667">
        <f>IF(HLOOKUP("Mins",A1:CV300,147,FALSE)=0,0,HLOOKUP("Gs - Open",A1:CV300,147,FALSE)/HLOOKUP("Mins",A1:CV300,147,FALSE)* 90)</f>
      </c>
      <c r="BP147" s="26668">
        <f>IF(HLOOKUP("Mins",A1:CV300,147,FALSE)=0,0,HLOOKUP("ICT Index",A1:CV300,147,FALSE)/HLOOKUP("Mins",A1:CV300,147,FALSE)* 90)</f>
      </c>
      <c r="BQ147" s="26669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26670">
        <f>0.0885*HLOOKUP("KP/90",A1:CV300,147,FALSE)</f>
      </c>
      <c r="BS147" s="26671">
        <f>5*HLOOKUP("xG/90",A1:CV300,147,FALSE)+3*HLOOKUP("xA/90",A1:CV300,147,FALSE)</f>
      </c>
      <c r="BT147" s="26672">
        <f>HLOOKUP("xPts/90",A1:CV300,147,FALSE)-(5*0.75*(HLOOKUP("PK Gs",A1:CV300,147,FALSE)+HLOOKUP("PK Miss",A1:CV300,147,FALSE))*90/HLOOKUP("Mins",A1:CV300,147,FALSE))</f>
      </c>
      <c r="BU147" s="26673">
        <f>IF(HLOOKUP("Mins",A1:CV300,147,FALSE)=0,0,HLOOKUP("fsXG",A1:CV300,147,FALSE)/HLOOKUP("Mins",A1:CV300,147,FALSE)* 90)</f>
      </c>
      <c r="BV147" s="26674">
        <f>IF(HLOOKUP("Mins",A1:CV300,147,FALSE)=0,0,HLOOKUP("fsXA",A1:CV300,147,FALSE)/HLOOKUP("Mins",A1:CV300,147,FALSE)* 90)</f>
      </c>
      <c r="BW147" s="26675">
        <f>5*HLOOKUP("fsXG/90",A1:CV300,147,FALSE)+3*HLOOKUP("fsXA/90",A1:CV300,147,FALSE)</f>
      </c>
      <c r="BX147" t="n" s="26676">
        <v>0.24449953436851501</v>
      </c>
      <c r="BY147" t="n" s="26677">
        <v>0.02434641681611538</v>
      </c>
      <c r="BZ147" s="26678">
        <f>5*HLOOKUP("uXG/90",A1:CV300,147,FALSE)+3*HLOOKUP("uXA/90",A1:CV300,147,FALSE)</f>
      </c>
    </row>
    <row r="148">
      <c r="A148" t="s" s="26679">
        <v>439</v>
      </c>
      <c r="B148" t="s" s="26680">
        <v>100</v>
      </c>
      <c r="C148" t="n" s="26681">
        <v>5.300000190734863</v>
      </c>
      <c r="D148" t="n" s="26682">
        <v>454.0</v>
      </c>
      <c r="E148" t="n" s="26683">
        <v>6.0</v>
      </c>
      <c r="F148" t="n" s="26684">
        <v>56.0</v>
      </c>
      <c r="G148" t="n" s="26685">
        <v>0.0</v>
      </c>
      <c r="H148" t="n" s="26686">
        <v>4.0</v>
      </c>
      <c r="I148" t="n" s="26687">
        <v>269.0</v>
      </c>
      <c r="J148" s="26688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26689">
        <v>0.0</v>
      </c>
      <c r="L148" t="n" s="26690">
        <v>4.0</v>
      </c>
      <c r="M148" t="n" s="26691">
        <v>0.0</v>
      </c>
      <c r="N148" t="n" s="26692">
        <v>12.0</v>
      </c>
      <c r="O148" t="n" s="26693">
        <v>0.0</v>
      </c>
      <c r="P148" s="26694">
        <f>IF(HLOOKUP("Shots",A1:CV300,148,FALSE)=0,0,HLOOKUP("SIB",A1:CV300,148,FALSE)/HLOOKUP("Shots",A1:CV300,148,FALSE))</f>
      </c>
      <c r="Q148" t="n" s="26695">
        <v>0.0</v>
      </c>
      <c r="R148" s="26696">
        <f>IF(HLOOKUP("Shots",A1:CV300,148,FALSE)=0,0,HLOOKUP("S6YD",A1:CV300,148,FALSE)/HLOOKUP("Shots",A1:CV300,148,FALSE))</f>
      </c>
      <c r="S148" t="n" s="26697">
        <v>0.0</v>
      </c>
      <c r="T148" s="26698">
        <f>IF(HLOOKUP("Shots",A1:CV300,148,FALSE)=0,0,HLOOKUP("Headers",A1:CV300,148,FALSE)/HLOOKUP("Shots",A1:CV300,148,FALSE))</f>
      </c>
      <c r="U148" t="n" s="26699">
        <v>1.0</v>
      </c>
      <c r="V148" s="26700">
        <f>IF(HLOOKUP("Shots",A1:CV300,148,FALSE)=0,0,HLOOKUP("SOT",A1:CV300,148,FALSE)/HLOOKUP("Shots",A1:CV300,148,FALSE))</f>
      </c>
      <c r="W148" s="26701">
        <f>IF(HLOOKUP("Shots",A1:CV300,148,FALSE)=0,0,HLOOKUP("Gs",A1:CV300,148,FALSE)/HLOOKUP("Shots",A1:CV300,148,FALSE))</f>
      </c>
      <c r="X148" t="n" s="26702">
        <v>1.0</v>
      </c>
      <c r="Y148" t="n" s="26703">
        <v>1.0</v>
      </c>
      <c r="Z148" t="n" s="26704">
        <v>6.0</v>
      </c>
      <c r="AA148" s="26705">
        <f>IF(HLOOKUP("KP",A1:CV300,148,FALSE)=0,0,HLOOKUP("As",A1:CV300,148,FALSE)/HLOOKUP("KP",A1:CV300,148,FALSE))</f>
      </c>
      <c r="AB148" s="26706"/>
      <c r="AC148" t="n" s="26707">
        <v>12.0</v>
      </c>
      <c r="AD148" t="n" s="26708">
        <v>0.0</v>
      </c>
      <c r="AE148" t="n" s="26709">
        <v>0.0</v>
      </c>
      <c r="AF148" t="n" s="26710">
        <v>0.0</v>
      </c>
      <c r="AG148" s="26711">
        <f>IF(HLOOKUP("BC",A1:CV300,148,FALSE)=0,0,HLOOKUP("Gs - BC",A1:CV300,148,FALSE)/HLOOKUP("BC",A1:CV300,148,FALSE))</f>
      </c>
      <c r="AH148" s="26712">
        <f>HLOOKUP("BC",A1:CV300,148,FALSE) - HLOOKUP("BC Miss",A1:CV300,148,FALSE)</f>
      </c>
      <c r="AI148" s="26713">
        <f>IF(HLOOKUP("Gs",A1:CV300,148,FALSE)=0,0,HLOOKUP("Gs - BC",A1:CV300,148,FALSE)/HLOOKUP("Gs",A1:CV300,148,FALSE))</f>
      </c>
      <c r="AJ148" t="n" s="26714">
        <v>0.0</v>
      </c>
      <c r="AK148" t="n" s="26715">
        <v>0.0</v>
      </c>
      <c r="AL148" s="26716">
        <f>HLOOKUP("BC",A1:CV300,148,FALSE) - (HLOOKUP("PK Gs",A1:CV300,148,FALSE) + HLOOKUP("PK Miss",A1:CV300,148,FALSE))</f>
      </c>
      <c r="AM148" s="26717">
        <f>HLOOKUP("BC Miss",A1:CV300,148,FALSE) - HLOOKUP("PK Miss",A1:CV300,148,FALSE)</f>
      </c>
      <c r="AN148" s="26718">
        <f>IF(HLOOKUP("BC - Open",A1:CV300,148,FALSE)=0,0,HLOOKUP("BC - Open Miss",A1:CV300,148,FALSE)/HLOOKUP("BC - Open",A1:CV300,148,FALSE))</f>
      </c>
      <c r="AO148" t="n" s="26719">
        <v>0.0</v>
      </c>
      <c r="AP148" s="26720">
        <f>IF(HLOOKUP("Gs",A1:CV300,148,FALSE)=0,0,HLOOKUP("GIB",A1:CV300,148,FALSE)/HLOOKUP("Gs",A1:CV300,148,FALSE))</f>
      </c>
      <c r="AQ148" t="n" s="26721">
        <v>0.0</v>
      </c>
      <c r="AR148" s="26722">
        <f>IF(HLOOKUP("Gs",A1:CV300,148,FALSE)=0,0,HLOOKUP("Gs - Open",A1:CV300,148,FALSE)/HLOOKUP("Gs",A1:CV300,148,FALSE))</f>
      </c>
      <c r="AS148" t="n" s="26723">
        <v>0.37</v>
      </c>
      <c r="AT148" t="n" s="26724">
        <v>0.21</v>
      </c>
      <c r="AU148" s="26725">
        <f>IF(HLOOKUP("Mins",A1:CV300,148,FALSE)=0,0,HLOOKUP("Pts",A1:CV300,148,FALSE)/HLOOKUP("Mins",A1:CV300,148,FALSE)* 90)</f>
      </c>
      <c r="AV148" s="26726">
        <f>IF(HLOOKUP("Apps",A1:CV300,148,FALSE)=0,0,HLOOKUP("Pts",A1:CV300,148,FALSE)/HLOOKUP("Apps",A1:CV300,148,FALSE)* 1)</f>
      </c>
      <c r="AW148" s="26727">
        <f>IF(HLOOKUP("Mins",A1:CV300,148,FALSE)=0,0,HLOOKUP("Gs",A1:CV300,148,FALSE)/HLOOKUP("Mins",A1:CV300,148,FALSE)* 90)</f>
      </c>
      <c r="AX148" s="26728">
        <f>IF(HLOOKUP("Mins",A1:CV300,148,FALSE)=0,0,HLOOKUP("Bonus",A1:CV300,148,FALSE)/HLOOKUP("Mins",A1:CV300,148,FALSE)* 90)</f>
      </c>
      <c r="AY148" s="26729">
        <f>IF(HLOOKUP("Mins",A1:CV300,148,FALSE)=0,0,HLOOKUP("BPS",A1:CV300,148,FALSE)/HLOOKUP("Mins",A1:CV300,148,FALSE)* 90)</f>
      </c>
      <c r="AZ148" s="26730">
        <f>IF(HLOOKUP("Mins",A1:CV300,148,FALSE)=0,0,HLOOKUP("Base BPS",A1:CV300,148,FALSE)/HLOOKUP("Mins",A1:CV300,148,FALSE)* 90)</f>
      </c>
      <c r="BA148" s="26731">
        <f>IF(HLOOKUP("Mins",A1:CV300,148,FALSE)=0,0,HLOOKUP("PenTchs",A1:CV300,148,FALSE)/HLOOKUP("Mins",A1:CV300,148,FALSE)* 90)</f>
      </c>
      <c r="BB148" s="26732">
        <f>IF(HLOOKUP("Mins",A1:CV300,148,FALSE)=0,0,HLOOKUP("Shots",A1:CV300,148,FALSE)/HLOOKUP("Mins",A1:CV300,148,FALSE)* 90)</f>
      </c>
      <c r="BC148" s="26733">
        <f>IF(HLOOKUP("Mins",A1:CV300,148,FALSE)=0,0,HLOOKUP("SIB",A1:CV300,148,FALSE)/HLOOKUP("Mins",A1:CV300,148,FALSE)* 90)</f>
      </c>
      <c r="BD148" s="26734">
        <f>IF(HLOOKUP("Mins",A1:CV300,148,FALSE)=0,0,HLOOKUP("S6YD",A1:CV300,148,FALSE)/HLOOKUP("Mins",A1:CV300,148,FALSE)* 90)</f>
      </c>
      <c r="BE148" s="26735">
        <f>IF(HLOOKUP("Mins",A1:CV300,148,FALSE)=0,0,HLOOKUP("Headers",A1:CV300,148,FALSE)/HLOOKUP("Mins",A1:CV300,148,FALSE)* 90)</f>
      </c>
      <c r="BF148" s="26736">
        <f>IF(HLOOKUP("Mins",A1:CV300,148,FALSE)=0,0,HLOOKUP("SOT",A1:CV300,148,FALSE)/HLOOKUP("Mins",A1:CV300,148,FALSE)* 90)</f>
      </c>
      <c r="BG148" s="26737">
        <f>IF(HLOOKUP("Mins",A1:CV300,148,FALSE)=0,0,HLOOKUP("As",A1:CV300,148,FALSE)/HLOOKUP("Mins",A1:CV300,148,FALSE)* 90)</f>
      </c>
      <c r="BH148" s="26738">
        <f>IF(HLOOKUP("Mins",A1:CV300,148,FALSE)=0,0,HLOOKUP("FPL As",A1:CV300,148,FALSE)/HLOOKUP("Mins",A1:CV300,148,FALSE)* 90)</f>
      </c>
      <c r="BI148" s="26739">
        <f>IF(HLOOKUP("Mins",A1:CV300,148,FALSE)=0,0,HLOOKUP("BC Created",A1:CV300,148,FALSE)/HLOOKUP("Mins",A1:CV300,148,FALSE)* 90)</f>
      </c>
      <c r="BJ148" s="26740">
        <f>IF(HLOOKUP("Mins",A1:CV300,148,FALSE)=0,0,HLOOKUP("KP",A1:CV300,148,FALSE)/HLOOKUP("Mins",A1:CV300,148,FALSE)* 90)</f>
      </c>
      <c r="BK148" s="26741">
        <f>IF(HLOOKUP("Mins",A1:CV300,148,FALSE)=0,0,HLOOKUP("BC",A1:CV300,148,FALSE)/HLOOKUP("Mins",A1:CV300,148,FALSE)* 90)</f>
      </c>
      <c r="BL148" s="26742">
        <f>IF(HLOOKUP("Mins",A1:CV300,148,FALSE)=0,0,HLOOKUP("BC Miss",A1:CV300,148,FALSE)/HLOOKUP("Mins",A1:CV300,148,FALSE)* 90)</f>
      </c>
      <c r="BM148" s="26743">
        <f>IF(HLOOKUP("Mins",A1:CV300,148,FALSE)=0,0,HLOOKUP("Gs - BC",A1:CV300,148,FALSE)/HLOOKUP("Mins",A1:CV300,148,FALSE)* 90)</f>
      </c>
      <c r="BN148" s="26744">
        <f>IF(HLOOKUP("Mins",A1:CV300,148,FALSE)=0,0,HLOOKUP("GIB",A1:CV300,148,FALSE)/HLOOKUP("Mins",A1:CV300,148,FALSE)* 90)</f>
      </c>
      <c r="BO148" s="26745">
        <f>IF(HLOOKUP("Mins",A1:CV300,148,FALSE)=0,0,HLOOKUP("Gs - Open",A1:CV300,148,FALSE)/HLOOKUP("Mins",A1:CV300,148,FALSE)* 90)</f>
      </c>
      <c r="BP148" s="26746">
        <f>IF(HLOOKUP("Mins",A1:CV300,148,FALSE)=0,0,HLOOKUP("ICT Index",A1:CV300,148,FALSE)/HLOOKUP("Mins",A1:CV300,148,FALSE)* 90)</f>
      </c>
      <c r="BQ148" s="26747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26748">
        <f>0.0885*HLOOKUP("KP/90",A1:CV300,148,FALSE)</f>
      </c>
      <c r="BS148" s="26749">
        <f>5*HLOOKUP("xG/90",A1:CV300,148,FALSE)+3*HLOOKUP("xA/90",A1:CV300,148,FALSE)</f>
      </c>
      <c r="BT148" s="26750">
        <f>HLOOKUP("xPts/90",A1:CV300,148,FALSE)-(5*0.75*(HLOOKUP("PK Gs",A1:CV300,148,FALSE)+HLOOKUP("PK Miss",A1:CV300,148,FALSE))*90/HLOOKUP("Mins",A1:CV300,148,FALSE))</f>
      </c>
      <c r="BU148" s="26751">
        <f>IF(HLOOKUP("Mins",A1:CV300,148,FALSE)=0,0,HLOOKUP("fsXG",A1:CV300,148,FALSE)/HLOOKUP("Mins",A1:CV300,148,FALSE)* 90)</f>
      </c>
      <c r="BV148" s="26752">
        <f>IF(HLOOKUP("Mins",A1:CV300,148,FALSE)=0,0,HLOOKUP("fsXA",A1:CV300,148,FALSE)/HLOOKUP("Mins",A1:CV300,148,FALSE)* 90)</f>
      </c>
      <c r="BW148" s="26753">
        <f>5*HLOOKUP("fsXG/90",A1:CV300,148,FALSE)+3*HLOOKUP("fsXA/90",A1:CV300,148,FALSE)</f>
      </c>
      <c r="BX148" t="n" s="26754">
        <v>0.05206858739256859</v>
      </c>
      <c r="BY148" t="n" s="26755">
        <v>0.05191180482506752</v>
      </c>
      <c r="BZ148" s="26756">
        <f>5*HLOOKUP("uXG/90",A1:CV300,148,FALSE)+3*HLOOKUP("uXA/90",A1:CV300,148,FALSE)</f>
      </c>
    </row>
    <row r="149">
      <c r="A149" t="s" s="26757">
        <v>440</v>
      </c>
      <c r="B149" t="s" s="26758">
        <v>114</v>
      </c>
      <c r="C149" t="n" s="26759">
        <v>5.300000190734863</v>
      </c>
      <c r="D149" t="n" s="26760">
        <v>299.0</v>
      </c>
      <c r="E149" t="n" s="26761">
        <v>5.0</v>
      </c>
      <c r="F149" t="n" s="26762">
        <v>22.0</v>
      </c>
      <c r="G149" t="n" s="26763">
        <v>0.0</v>
      </c>
      <c r="H149" t="n" s="26764">
        <v>2.0</v>
      </c>
      <c r="I149" t="n" s="26765">
        <v>150.0</v>
      </c>
      <c r="J149" s="26766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26767">
        <v>0.0</v>
      </c>
      <c r="L149" t="n" s="26768">
        <v>2.0</v>
      </c>
      <c r="M149" t="n" s="26769">
        <v>0.0</v>
      </c>
      <c r="N149" t="n" s="26770">
        <v>1.0</v>
      </c>
      <c r="O149" t="n" s="26771">
        <v>0.0</v>
      </c>
      <c r="P149" s="26772">
        <f>IF(HLOOKUP("Shots",A1:CV300,149,FALSE)=0,0,HLOOKUP("SIB",A1:CV300,149,FALSE)/HLOOKUP("Shots",A1:CV300,149,FALSE))</f>
      </c>
      <c r="Q149" t="n" s="26773">
        <v>0.0</v>
      </c>
      <c r="R149" s="26774">
        <f>IF(HLOOKUP("Shots",A1:CV300,149,FALSE)=0,0,HLOOKUP("S6YD",A1:CV300,149,FALSE)/HLOOKUP("Shots",A1:CV300,149,FALSE))</f>
      </c>
      <c r="S149" t="n" s="26775">
        <v>0.0</v>
      </c>
      <c r="T149" s="26776">
        <f>IF(HLOOKUP("Shots",A1:CV300,149,FALSE)=0,0,HLOOKUP("Headers",A1:CV300,149,FALSE)/HLOOKUP("Shots",A1:CV300,149,FALSE))</f>
      </c>
      <c r="U149" t="n" s="26777">
        <v>0.0</v>
      </c>
      <c r="V149" s="26778">
        <f>IF(HLOOKUP("Shots",A1:CV300,149,FALSE)=0,0,HLOOKUP("SOT",A1:CV300,149,FALSE)/HLOOKUP("Shots",A1:CV300,149,FALSE))</f>
      </c>
      <c r="W149" s="26779">
        <f>IF(HLOOKUP("Shots",A1:CV300,149,FALSE)=0,0,HLOOKUP("Gs",A1:CV300,149,FALSE)/HLOOKUP("Shots",A1:CV300,149,FALSE))</f>
      </c>
      <c r="X149" t="n" s="26780">
        <v>0.0</v>
      </c>
      <c r="Y149" t="n" s="26781">
        <v>0.0</v>
      </c>
      <c r="Z149" t="n" s="26782">
        <v>2.0</v>
      </c>
      <c r="AA149" s="26783">
        <f>IF(HLOOKUP("KP",A1:CV300,149,FALSE)=0,0,HLOOKUP("As",A1:CV300,149,FALSE)/HLOOKUP("KP",A1:CV300,149,FALSE))</f>
      </c>
      <c r="AB149" s="26784"/>
      <c r="AC149" t="n" s="26785">
        <v>0.0</v>
      </c>
      <c r="AD149" t="n" s="26786">
        <v>0.0</v>
      </c>
      <c r="AE149" t="n" s="26787">
        <v>0.0</v>
      </c>
      <c r="AF149" t="n" s="26788">
        <v>0.0</v>
      </c>
      <c r="AG149" s="26789">
        <f>IF(HLOOKUP("BC",A1:CV300,149,FALSE)=0,0,HLOOKUP("Gs - BC",A1:CV300,149,FALSE)/HLOOKUP("BC",A1:CV300,149,FALSE))</f>
      </c>
      <c r="AH149" s="26790">
        <f>HLOOKUP("BC",A1:CV300,149,FALSE) - HLOOKUP("BC Miss",A1:CV300,149,FALSE)</f>
      </c>
      <c r="AI149" s="26791">
        <f>IF(HLOOKUP("Gs",A1:CV300,149,FALSE)=0,0,HLOOKUP("Gs - BC",A1:CV300,149,FALSE)/HLOOKUP("Gs",A1:CV300,149,FALSE))</f>
      </c>
      <c r="AJ149" t="n" s="26792">
        <v>0.0</v>
      </c>
      <c r="AK149" t="n" s="26793">
        <v>0.0</v>
      </c>
      <c r="AL149" s="26794">
        <f>HLOOKUP("BC",A1:CV300,149,FALSE) - (HLOOKUP("PK Gs",A1:CV300,149,FALSE) + HLOOKUP("PK Miss",A1:CV300,149,FALSE))</f>
      </c>
      <c r="AM149" s="26795">
        <f>HLOOKUP("BC Miss",A1:CV300,149,FALSE) - HLOOKUP("PK Miss",A1:CV300,149,FALSE)</f>
      </c>
      <c r="AN149" s="26796">
        <f>IF(HLOOKUP("BC - Open",A1:CV300,149,FALSE)=0,0,HLOOKUP("BC - Open Miss",A1:CV300,149,FALSE)/HLOOKUP("BC - Open",A1:CV300,149,FALSE))</f>
      </c>
      <c r="AO149" t="n" s="26797">
        <v>0.0</v>
      </c>
      <c r="AP149" s="26798">
        <f>IF(HLOOKUP("Gs",A1:CV300,149,FALSE)=0,0,HLOOKUP("GIB",A1:CV300,149,FALSE)/HLOOKUP("Gs",A1:CV300,149,FALSE))</f>
      </c>
      <c r="AQ149" t="n" s="26799">
        <v>0.0</v>
      </c>
      <c r="AR149" s="26800">
        <f>IF(HLOOKUP("Gs",A1:CV300,149,FALSE)=0,0,HLOOKUP("Gs - Open",A1:CV300,149,FALSE)/HLOOKUP("Gs",A1:CV300,149,FALSE))</f>
      </c>
      <c r="AS149" t="n" s="26801">
        <v>0.02</v>
      </c>
      <c r="AT149" t="n" s="26802">
        <v>0.12</v>
      </c>
      <c r="AU149" s="26803">
        <f>IF(HLOOKUP("Mins",A1:CV300,149,FALSE)=0,0,HLOOKUP("Pts",A1:CV300,149,FALSE)/HLOOKUP("Mins",A1:CV300,149,FALSE)* 90)</f>
      </c>
      <c r="AV149" s="26804">
        <f>IF(HLOOKUP("Apps",A1:CV300,149,FALSE)=0,0,HLOOKUP("Pts",A1:CV300,149,FALSE)/HLOOKUP("Apps",A1:CV300,149,FALSE)* 1)</f>
      </c>
      <c r="AW149" s="26805">
        <f>IF(HLOOKUP("Mins",A1:CV300,149,FALSE)=0,0,HLOOKUP("Gs",A1:CV300,149,FALSE)/HLOOKUP("Mins",A1:CV300,149,FALSE)* 90)</f>
      </c>
      <c r="AX149" s="26806">
        <f>IF(HLOOKUP("Mins",A1:CV300,149,FALSE)=0,0,HLOOKUP("Bonus",A1:CV300,149,FALSE)/HLOOKUP("Mins",A1:CV300,149,FALSE)* 90)</f>
      </c>
      <c r="AY149" s="26807">
        <f>IF(HLOOKUP("Mins",A1:CV300,149,FALSE)=0,0,HLOOKUP("BPS",A1:CV300,149,FALSE)/HLOOKUP("Mins",A1:CV300,149,FALSE)* 90)</f>
      </c>
      <c r="AZ149" s="26808">
        <f>IF(HLOOKUP("Mins",A1:CV300,149,FALSE)=0,0,HLOOKUP("Base BPS",A1:CV300,149,FALSE)/HLOOKUP("Mins",A1:CV300,149,FALSE)* 90)</f>
      </c>
      <c r="BA149" s="26809">
        <f>IF(HLOOKUP("Mins",A1:CV300,149,FALSE)=0,0,HLOOKUP("PenTchs",A1:CV300,149,FALSE)/HLOOKUP("Mins",A1:CV300,149,FALSE)* 90)</f>
      </c>
      <c r="BB149" s="26810">
        <f>IF(HLOOKUP("Mins",A1:CV300,149,FALSE)=0,0,HLOOKUP("Shots",A1:CV300,149,FALSE)/HLOOKUP("Mins",A1:CV300,149,FALSE)* 90)</f>
      </c>
      <c r="BC149" s="26811">
        <f>IF(HLOOKUP("Mins",A1:CV300,149,FALSE)=0,0,HLOOKUP("SIB",A1:CV300,149,FALSE)/HLOOKUP("Mins",A1:CV300,149,FALSE)* 90)</f>
      </c>
      <c r="BD149" s="26812">
        <f>IF(HLOOKUP("Mins",A1:CV300,149,FALSE)=0,0,HLOOKUP("S6YD",A1:CV300,149,FALSE)/HLOOKUP("Mins",A1:CV300,149,FALSE)* 90)</f>
      </c>
      <c r="BE149" s="26813">
        <f>IF(HLOOKUP("Mins",A1:CV300,149,FALSE)=0,0,HLOOKUP("Headers",A1:CV300,149,FALSE)/HLOOKUP("Mins",A1:CV300,149,FALSE)* 90)</f>
      </c>
      <c r="BF149" s="26814">
        <f>IF(HLOOKUP("Mins",A1:CV300,149,FALSE)=0,0,HLOOKUP("SOT",A1:CV300,149,FALSE)/HLOOKUP("Mins",A1:CV300,149,FALSE)* 90)</f>
      </c>
      <c r="BG149" s="26815">
        <f>IF(HLOOKUP("Mins",A1:CV300,149,FALSE)=0,0,HLOOKUP("As",A1:CV300,149,FALSE)/HLOOKUP("Mins",A1:CV300,149,FALSE)* 90)</f>
      </c>
      <c r="BH149" s="26816">
        <f>IF(HLOOKUP("Mins",A1:CV300,149,FALSE)=0,0,HLOOKUP("FPL As",A1:CV300,149,FALSE)/HLOOKUP("Mins",A1:CV300,149,FALSE)* 90)</f>
      </c>
      <c r="BI149" s="26817">
        <f>IF(HLOOKUP("Mins",A1:CV300,149,FALSE)=0,0,HLOOKUP("BC Created",A1:CV300,149,FALSE)/HLOOKUP("Mins",A1:CV300,149,FALSE)* 90)</f>
      </c>
      <c r="BJ149" s="26818">
        <f>IF(HLOOKUP("Mins",A1:CV300,149,FALSE)=0,0,HLOOKUP("KP",A1:CV300,149,FALSE)/HLOOKUP("Mins",A1:CV300,149,FALSE)* 90)</f>
      </c>
      <c r="BK149" s="26819">
        <f>IF(HLOOKUP("Mins",A1:CV300,149,FALSE)=0,0,HLOOKUP("BC",A1:CV300,149,FALSE)/HLOOKUP("Mins",A1:CV300,149,FALSE)* 90)</f>
      </c>
      <c r="BL149" s="26820">
        <f>IF(HLOOKUP("Mins",A1:CV300,149,FALSE)=0,0,HLOOKUP("BC Miss",A1:CV300,149,FALSE)/HLOOKUP("Mins",A1:CV300,149,FALSE)* 90)</f>
      </c>
      <c r="BM149" s="26821">
        <f>IF(HLOOKUP("Mins",A1:CV300,149,FALSE)=0,0,HLOOKUP("Gs - BC",A1:CV300,149,FALSE)/HLOOKUP("Mins",A1:CV300,149,FALSE)* 90)</f>
      </c>
      <c r="BN149" s="26822">
        <f>IF(HLOOKUP("Mins",A1:CV300,149,FALSE)=0,0,HLOOKUP("GIB",A1:CV300,149,FALSE)/HLOOKUP("Mins",A1:CV300,149,FALSE)* 90)</f>
      </c>
      <c r="BO149" s="26823">
        <f>IF(HLOOKUP("Mins",A1:CV300,149,FALSE)=0,0,HLOOKUP("Gs - Open",A1:CV300,149,FALSE)/HLOOKUP("Mins",A1:CV300,149,FALSE)* 90)</f>
      </c>
      <c r="BP149" s="26824">
        <f>IF(HLOOKUP("Mins",A1:CV300,149,FALSE)=0,0,HLOOKUP("ICT Index",A1:CV300,149,FALSE)/HLOOKUP("Mins",A1:CV300,149,FALSE)* 90)</f>
      </c>
      <c r="BQ149" s="26825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26826">
        <f>0.0885*HLOOKUP("KP/90",A1:CV300,149,FALSE)</f>
      </c>
      <c r="BS149" s="26827">
        <f>5*HLOOKUP("xG/90",A1:CV300,149,FALSE)+3*HLOOKUP("xA/90",A1:CV300,149,FALSE)</f>
      </c>
      <c r="BT149" s="26828">
        <f>HLOOKUP("xPts/90",A1:CV300,149,FALSE)-(5*0.75*(HLOOKUP("PK Gs",A1:CV300,149,FALSE)+HLOOKUP("PK Miss",A1:CV300,149,FALSE))*90/HLOOKUP("Mins",A1:CV300,149,FALSE))</f>
      </c>
      <c r="BU149" s="26829">
        <f>IF(HLOOKUP("Mins",A1:CV300,149,FALSE)=0,0,HLOOKUP("fsXG",A1:CV300,149,FALSE)/HLOOKUP("Mins",A1:CV300,149,FALSE)* 90)</f>
      </c>
      <c r="BV149" s="26830">
        <f>IF(HLOOKUP("Mins",A1:CV300,149,FALSE)=0,0,HLOOKUP("fsXA",A1:CV300,149,FALSE)/HLOOKUP("Mins",A1:CV300,149,FALSE)* 90)</f>
      </c>
      <c r="BW149" s="26831">
        <f>5*HLOOKUP("fsXG/90",A1:CV300,149,FALSE)+3*HLOOKUP("fsXA/90",A1:CV300,149,FALSE)</f>
      </c>
      <c r="BX149" t="n" s="26832">
        <v>0.003914353903383017</v>
      </c>
      <c r="BY149" t="n" s="26833">
        <v>0.0140678146854043</v>
      </c>
      <c r="BZ149" s="26834">
        <f>5*HLOOKUP("uXG/90",A1:CV300,149,FALSE)+3*HLOOKUP("uXA/90",A1:CV300,149,FALSE)</f>
      </c>
    </row>
    <row r="150">
      <c r="A150" t="s" s="26835">
        <v>441</v>
      </c>
      <c r="B150" t="s" s="26836">
        <v>80</v>
      </c>
      <c r="C150" t="n" s="26837">
        <v>4.800000190734863</v>
      </c>
      <c r="D150" t="n" s="26838">
        <v>62.0</v>
      </c>
      <c r="E150" t="n" s="26839">
        <v>4.0</v>
      </c>
      <c r="F150" t="n" s="26840">
        <v>20.0</v>
      </c>
      <c r="G150" t="n" s="26841">
        <v>0.0</v>
      </c>
      <c r="H150" t="n" s="26842">
        <v>0.0</v>
      </c>
      <c r="I150" t="n" s="26843">
        <v>88.0</v>
      </c>
      <c r="J150" s="26844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26845">
        <v>0.0</v>
      </c>
      <c r="L150" t="n" s="26846">
        <v>1.0</v>
      </c>
      <c r="M150" t="n" s="26847">
        <v>1.0</v>
      </c>
      <c r="N150" t="n" s="26848">
        <v>2.0</v>
      </c>
      <c r="O150" t="n" s="26849">
        <v>1.0</v>
      </c>
      <c r="P150" s="26850">
        <f>IF(HLOOKUP("Shots",A1:CV300,150,FALSE)=0,0,HLOOKUP("SIB",A1:CV300,150,FALSE)/HLOOKUP("Shots",A1:CV300,150,FALSE))</f>
      </c>
      <c r="Q150" t="n" s="26851">
        <v>0.0</v>
      </c>
      <c r="R150" s="26852">
        <f>IF(HLOOKUP("Shots",A1:CV300,150,FALSE)=0,0,HLOOKUP("S6YD",A1:CV300,150,FALSE)/HLOOKUP("Shots",A1:CV300,150,FALSE))</f>
      </c>
      <c r="S150" t="n" s="26853">
        <v>0.0</v>
      </c>
      <c r="T150" s="26854">
        <f>IF(HLOOKUP("Shots",A1:CV300,150,FALSE)=0,0,HLOOKUP("Headers",A1:CV300,150,FALSE)/HLOOKUP("Shots",A1:CV300,150,FALSE))</f>
      </c>
      <c r="U150" t="n" s="26855">
        <v>1.0</v>
      </c>
      <c r="V150" s="26856">
        <f>IF(HLOOKUP("Shots",A1:CV300,150,FALSE)=0,0,HLOOKUP("SOT",A1:CV300,150,FALSE)/HLOOKUP("Shots",A1:CV300,150,FALSE))</f>
      </c>
      <c r="W150" s="26857">
        <f>IF(HLOOKUP("Shots",A1:CV300,150,FALSE)=0,0,HLOOKUP("Gs",A1:CV300,150,FALSE)/HLOOKUP("Shots",A1:CV300,150,FALSE))</f>
      </c>
      <c r="X150" t="n" s="26858">
        <v>0.0</v>
      </c>
      <c r="Y150" t="n" s="26859">
        <v>0.0</v>
      </c>
      <c r="Z150" t="n" s="26860">
        <v>2.0</v>
      </c>
      <c r="AA150" s="26861">
        <f>IF(HLOOKUP("KP",A1:CV300,150,FALSE)=0,0,HLOOKUP("As",A1:CV300,150,FALSE)/HLOOKUP("KP",A1:CV300,150,FALSE))</f>
      </c>
      <c r="AB150" s="26862"/>
      <c r="AC150" t="n" s="26863">
        <v>0.0</v>
      </c>
      <c r="AD150" t="n" s="26864">
        <v>0.0</v>
      </c>
      <c r="AE150" t="n" s="26865">
        <v>0.0</v>
      </c>
      <c r="AF150" t="n" s="26866">
        <v>0.0</v>
      </c>
      <c r="AG150" s="26867">
        <f>IF(HLOOKUP("BC",A1:CV300,150,FALSE)=0,0,HLOOKUP("Gs - BC",A1:CV300,150,FALSE)/HLOOKUP("BC",A1:CV300,150,FALSE))</f>
      </c>
      <c r="AH150" s="26868">
        <f>HLOOKUP("BC",A1:CV300,150,FALSE) - HLOOKUP("BC Miss",A1:CV300,150,FALSE)</f>
      </c>
      <c r="AI150" s="26869">
        <f>IF(HLOOKUP("Gs",A1:CV300,150,FALSE)=0,0,HLOOKUP("Gs - BC",A1:CV300,150,FALSE)/HLOOKUP("Gs",A1:CV300,150,FALSE))</f>
      </c>
      <c r="AJ150" t="n" s="26870">
        <v>0.0</v>
      </c>
      <c r="AK150" t="n" s="26871">
        <v>0.0</v>
      </c>
      <c r="AL150" s="26872">
        <f>HLOOKUP("BC",A1:CV300,150,FALSE) - (HLOOKUP("PK Gs",A1:CV300,150,FALSE) + HLOOKUP("PK Miss",A1:CV300,150,FALSE))</f>
      </c>
      <c r="AM150" s="26873">
        <f>HLOOKUP("BC Miss",A1:CV300,150,FALSE) - HLOOKUP("PK Miss",A1:CV300,150,FALSE)</f>
      </c>
      <c r="AN150" s="26874">
        <f>IF(HLOOKUP("BC - Open",A1:CV300,150,FALSE)=0,0,HLOOKUP("BC - Open Miss",A1:CV300,150,FALSE)/HLOOKUP("BC - Open",A1:CV300,150,FALSE))</f>
      </c>
      <c r="AO150" t="n" s="26875">
        <v>0.0</v>
      </c>
      <c r="AP150" s="26876">
        <f>IF(HLOOKUP("Gs",A1:CV300,150,FALSE)=0,0,HLOOKUP("GIB",A1:CV300,150,FALSE)/HLOOKUP("Gs",A1:CV300,150,FALSE))</f>
      </c>
      <c r="AQ150" t="n" s="26877">
        <v>0.0</v>
      </c>
      <c r="AR150" s="26878">
        <f>IF(HLOOKUP("Gs",A1:CV300,150,FALSE)=0,0,HLOOKUP("Gs - Open",A1:CV300,150,FALSE)/HLOOKUP("Gs",A1:CV300,150,FALSE))</f>
      </c>
      <c r="AS150" t="n" s="26879">
        <v>0.12</v>
      </c>
      <c r="AT150" t="n" s="26880">
        <v>0.04</v>
      </c>
      <c r="AU150" s="26881">
        <f>IF(HLOOKUP("Mins",A1:CV300,150,FALSE)=0,0,HLOOKUP("Pts",A1:CV300,150,FALSE)/HLOOKUP("Mins",A1:CV300,150,FALSE)* 90)</f>
      </c>
      <c r="AV150" s="26882">
        <f>IF(HLOOKUP("Apps",A1:CV300,150,FALSE)=0,0,HLOOKUP("Pts",A1:CV300,150,FALSE)/HLOOKUP("Apps",A1:CV300,150,FALSE)* 1)</f>
      </c>
      <c r="AW150" s="26883">
        <f>IF(HLOOKUP("Mins",A1:CV300,150,FALSE)=0,0,HLOOKUP("Gs",A1:CV300,150,FALSE)/HLOOKUP("Mins",A1:CV300,150,FALSE)* 90)</f>
      </c>
      <c r="AX150" s="26884">
        <f>IF(HLOOKUP("Mins",A1:CV300,150,FALSE)=0,0,HLOOKUP("Bonus",A1:CV300,150,FALSE)/HLOOKUP("Mins",A1:CV300,150,FALSE)* 90)</f>
      </c>
      <c r="AY150" s="26885">
        <f>IF(HLOOKUP("Mins",A1:CV300,150,FALSE)=0,0,HLOOKUP("BPS",A1:CV300,150,FALSE)/HLOOKUP("Mins",A1:CV300,150,FALSE)* 90)</f>
      </c>
      <c r="AZ150" s="26886">
        <f>IF(HLOOKUP("Mins",A1:CV300,150,FALSE)=0,0,HLOOKUP("Base BPS",A1:CV300,150,FALSE)/HLOOKUP("Mins",A1:CV300,150,FALSE)* 90)</f>
      </c>
      <c r="BA150" s="26887">
        <f>IF(HLOOKUP("Mins",A1:CV300,150,FALSE)=0,0,HLOOKUP("PenTchs",A1:CV300,150,FALSE)/HLOOKUP("Mins",A1:CV300,150,FALSE)* 90)</f>
      </c>
      <c r="BB150" s="26888">
        <f>IF(HLOOKUP("Mins",A1:CV300,150,FALSE)=0,0,HLOOKUP("Shots",A1:CV300,150,FALSE)/HLOOKUP("Mins",A1:CV300,150,FALSE)* 90)</f>
      </c>
      <c r="BC150" s="26889">
        <f>IF(HLOOKUP("Mins",A1:CV300,150,FALSE)=0,0,HLOOKUP("SIB",A1:CV300,150,FALSE)/HLOOKUP("Mins",A1:CV300,150,FALSE)* 90)</f>
      </c>
      <c r="BD150" s="26890">
        <f>IF(HLOOKUP("Mins",A1:CV300,150,FALSE)=0,0,HLOOKUP("S6YD",A1:CV300,150,FALSE)/HLOOKUP("Mins",A1:CV300,150,FALSE)* 90)</f>
      </c>
      <c r="BE150" s="26891">
        <f>IF(HLOOKUP("Mins",A1:CV300,150,FALSE)=0,0,HLOOKUP("Headers",A1:CV300,150,FALSE)/HLOOKUP("Mins",A1:CV300,150,FALSE)* 90)</f>
      </c>
      <c r="BF150" s="26892">
        <f>IF(HLOOKUP("Mins",A1:CV300,150,FALSE)=0,0,HLOOKUP("SOT",A1:CV300,150,FALSE)/HLOOKUP("Mins",A1:CV300,150,FALSE)* 90)</f>
      </c>
      <c r="BG150" s="26893">
        <f>IF(HLOOKUP("Mins",A1:CV300,150,FALSE)=0,0,HLOOKUP("As",A1:CV300,150,FALSE)/HLOOKUP("Mins",A1:CV300,150,FALSE)* 90)</f>
      </c>
      <c r="BH150" s="26894">
        <f>IF(HLOOKUP("Mins",A1:CV300,150,FALSE)=0,0,HLOOKUP("FPL As",A1:CV300,150,FALSE)/HLOOKUP("Mins",A1:CV300,150,FALSE)* 90)</f>
      </c>
      <c r="BI150" s="26895">
        <f>IF(HLOOKUP("Mins",A1:CV300,150,FALSE)=0,0,HLOOKUP("BC Created",A1:CV300,150,FALSE)/HLOOKUP("Mins",A1:CV300,150,FALSE)* 90)</f>
      </c>
      <c r="BJ150" s="26896">
        <f>IF(HLOOKUP("Mins",A1:CV300,150,FALSE)=0,0,HLOOKUP("KP",A1:CV300,150,FALSE)/HLOOKUP("Mins",A1:CV300,150,FALSE)* 90)</f>
      </c>
      <c r="BK150" s="26897">
        <f>IF(HLOOKUP("Mins",A1:CV300,150,FALSE)=0,0,HLOOKUP("BC",A1:CV300,150,FALSE)/HLOOKUP("Mins",A1:CV300,150,FALSE)* 90)</f>
      </c>
      <c r="BL150" s="26898">
        <f>IF(HLOOKUP("Mins",A1:CV300,150,FALSE)=0,0,HLOOKUP("BC Miss",A1:CV300,150,FALSE)/HLOOKUP("Mins",A1:CV300,150,FALSE)* 90)</f>
      </c>
      <c r="BM150" s="26899">
        <f>IF(HLOOKUP("Mins",A1:CV300,150,FALSE)=0,0,HLOOKUP("Gs - BC",A1:CV300,150,FALSE)/HLOOKUP("Mins",A1:CV300,150,FALSE)* 90)</f>
      </c>
      <c r="BN150" s="26900">
        <f>IF(HLOOKUP("Mins",A1:CV300,150,FALSE)=0,0,HLOOKUP("GIB",A1:CV300,150,FALSE)/HLOOKUP("Mins",A1:CV300,150,FALSE)* 90)</f>
      </c>
      <c r="BO150" s="26901">
        <f>IF(HLOOKUP("Mins",A1:CV300,150,FALSE)=0,0,HLOOKUP("Gs - Open",A1:CV300,150,FALSE)/HLOOKUP("Mins",A1:CV300,150,FALSE)* 90)</f>
      </c>
      <c r="BP150" s="26902">
        <f>IF(HLOOKUP("Mins",A1:CV300,150,FALSE)=0,0,HLOOKUP("ICT Index",A1:CV300,150,FALSE)/HLOOKUP("Mins",A1:CV300,150,FALSE)* 90)</f>
      </c>
      <c r="BQ150" s="26903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26904">
        <f>0.0885*HLOOKUP("KP/90",A1:CV300,150,FALSE)</f>
      </c>
      <c r="BS150" s="26905">
        <f>5*HLOOKUP("xG/90",A1:CV300,150,FALSE)+3*HLOOKUP("xA/90",A1:CV300,150,FALSE)</f>
      </c>
      <c r="BT150" s="26906">
        <f>HLOOKUP("xPts/90",A1:CV300,150,FALSE)-(5*0.75*(HLOOKUP("PK Gs",A1:CV300,150,FALSE)+HLOOKUP("PK Miss",A1:CV300,150,FALSE))*90/HLOOKUP("Mins",A1:CV300,150,FALSE))</f>
      </c>
      <c r="BU150" s="26907">
        <f>IF(HLOOKUP("Mins",A1:CV300,150,FALSE)=0,0,HLOOKUP("fsXG",A1:CV300,150,FALSE)/HLOOKUP("Mins",A1:CV300,150,FALSE)* 90)</f>
      </c>
      <c r="BV150" s="26908">
        <f>IF(HLOOKUP("Mins",A1:CV300,150,FALSE)=0,0,HLOOKUP("fsXA",A1:CV300,150,FALSE)/HLOOKUP("Mins",A1:CV300,150,FALSE)* 90)</f>
      </c>
      <c r="BW150" s="26909">
        <f>5*HLOOKUP("fsXG/90",A1:CV300,150,FALSE)+3*HLOOKUP("fsXA/90",A1:CV300,150,FALSE)</f>
      </c>
      <c r="BX150" t="n" s="26910">
        <v>0.31434914469718933</v>
      </c>
      <c r="BY150" t="n" s="26911">
        <v>0.12940198183059692</v>
      </c>
      <c r="BZ150" s="26912">
        <f>5*HLOOKUP("uXG/90",A1:CV300,150,FALSE)+3*HLOOKUP("uXA/90",A1:CV300,150,FALSE)</f>
      </c>
    </row>
    <row r="151">
      <c r="A151" t="s" s="26913">
        <v>442</v>
      </c>
      <c r="B151" t="s" s="26914">
        <v>144</v>
      </c>
      <c r="C151" t="n" s="26915">
        <v>6.199999809265137</v>
      </c>
      <c r="D151" t="n" s="26916">
        <v>144.0</v>
      </c>
      <c r="E151" t="n" s="26917">
        <v>5.0</v>
      </c>
      <c r="F151" t="n" s="26918">
        <v>29.0</v>
      </c>
      <c r="G151" t="n" s="26919">
        <v>0.0</v>
      </c>
      <c r="H151" t="n" s="26920">
        <v>2.0</v>
      </c>
      <c r="I151" t="n" s="26921">
        <v>110.0</v>
      </c>
      <c r="J151" s="26922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26923">
        <v>0.0</v>
      </c>
      <c r="L151" t="n" s="26924">
        <v>3.0</v>
      </c>
      <c r="M151" t="n" s="26925">
        <v>8.0</v>
      </c>
      <c r="N151" t="n" s="26926">
        <v>2.0</v>
      </c>
      <c r="O151" t="n" s="26927">
        <v>1.0</v>
      </c>
      <c r="P151" s="26928">
        <f>IF(HLOOKUP("Shots",A1:CV300,151,FALSE)=0,0,HLOOKUP("SIB",A1:CV300,151,FALSE)/HLOOKUP("Shots",A1:CV300,151,FALSE))</f>
      </c>
      <c r="Q151" t="n" s="26929">
        <v>0.0</v>
      </c>
      <c r="R151" s="26930">
        <f>IF(HLOOKUP("Shots",A1:CV300,151,FALSE)=0,0,HLOOKUP("S6YD",A1:CV300,151,FALSE)/HLOOKUP("Shots",A1:CV300,151,FALSE))</f>
      </c>
      <c r="S151" t="n" s="26931">
        <v>0.0</v>
      </c>
      <c r="T151" s="26932">
        <f>IF(HLOOKUP("Shots",A1:CV300,151,FALSE)=0,0,HLOOKUP("Headers",A1:CV300,151,FALSE)/HLOOKUP("Shots",A1:CV300,151,FALSE))</f>
      </c>
      <c r="U151" t="n" s="26933">
        <v>0.0</v>
      </c>
      <c r="V151" s="26934">
        <f>IF(HLOOKUP("Shots",A1:CV300,151,FALSE)=0,0,HLOOKUP("SOT",A1:CV300,151,FALSE)/HLOOKUP("Shots",A1:CV300,151,FALSE))</f>
      </c>
      <c r="W151" s="26935">
        <f>IF(HLOOKUP("Shots",A1:CV300,151,FALSE)=0,0,HLOOKUP("Gs",A1:CV300,151,FALSE)/HLOOKUP("Shots",A1:CV300,151,FALSE))</f>
      </c>
      <c r="X151" t="n" s="26936">
        <v>2.0</v>
      </c>
      <c r="Y151" t="n" s="26937">
        <v>2.0</v>
      </c>
      <c r="Z151" t="n" s="26938">
        <v>6.0</v>
      </c>
      <c r="AA151" s="26939">
        <f>IF(HLOOKUP("KP",A1:CV300,151,FALSE)=0,0,HLOOKUP("As",A1:CV300,151,FALSE)/HLOOKUP("KP",A1:CV300,151,FALSE))</f>
      </c>
      <c r="AB151" s="26940"/>
      <c r="AC151" t="n" s="26941">
        <v>50.0</v>
      </c>
      <c r="AD151" t="n" s="26942">
        <v>3.0</v>
      </c>
      <c r="AE151" t="n" s="26943">
        <v>0.0</v>
      </c>
      <c r="AF151" t="n" s="26944">
        <v>0.0</v>
      </c>
      <c r="AG151" s="26945">
        <f>IF(HLOOKUP("BC",A1:CV300,151,FALSE)=0,0,HLOOKUP("Gs - BC",A1:CV300,151,FALSE)/HLOOKUP("BC",A1:CV300,151,FALSE))</f>
      </c>
      <c r="AH151" s="26946">
        <f>HLOOKUP("BC",A1:CV300,151,FALSE) - HLOOKUP("BC Miss",A1:CV300,151,FALSE)</f>
      </c>
      <c r="AI151" s="26947">
        <f>IF(HLOOKUP("Gs",A1:CV300,151,FALSE)=0,0,HLOOKUP("Gs - BC",A1:CV300,151,FALSE)/HLOOKUP("Gs",A1:CV300,151,FALSE))</f>
      </c>
      <c r="AJ151" t="n" s="26948">
        <v>0.0</v>
      </c>
      <c r="AK151" t="n" s="26949">
        <v>0.0</v>
      </c>
      <c r="AL151" s="26950">
        <f>HLOOKUP("BC",A1:CV300,151,FALSE) - (HLOOKUP("PK Gs",A1:CV300,151,FALSE) + HLOOKUP("PK Miss",A1:CV300,151,FALSE))</f>
      </c>
      <c r="AM151" s="26951">
        <f>HLOOKUP("BC Miss",A1:CV300,151,FALSE) - HLOOKUP("PK Miss",A1:CV300,151,FALSE)</f>
      </c>
      <c r="AN151" s="26952">
        <f>IF(HLOOKUP("BC - Open",A1:CV300,151,FALSE)=0,0,HLOOKUP("BC - Open Miss",A1:CV300,151,FALSE)/HLOOKUP("BC - Open",A1:CV300,151,FALSE))</f>
      </c>
      <c r="AO151" t="n" s="26953">
        <v>0.0</v>
      </c>
      <c r="AP151" s="26954">
        <f>IF(HLOOKUP("Gs",A1:CV300,151,FALSE)=0,0,HLOOKUP("GIB",A1:CV300,151,FALSE)/HLOOKUP("Gs",A1:CV300,151,FALSE))</f>
      </c>
      <c r="AQ151" t="n" s="26955">
        <v>0.0</v>
      </c>
      <c r="AR151" s="26956">
        <f>IF(HLOOKUP("Gs",A1:CV300,151,FALSE)=0,0,HLOOKUP("Gs - Open",A1:CV300,151,FALSE)/HLOOKUP("Gs",A1:CV300,151,FALSE))</f>
      </c>
      <c r="AS151" t="n" s="26957">
        <v>0.13</v>
      </c>
      <c r="AT151" t="n" s="26958">
        <v>1.53</v>
      </c>
      <c r="AU151" s="26959">
        <f>IF(HLOOKUP("Mins",A1:CV300,151,FALSE)=0,0,HLOOKUP("Pts",A1:CV300,151,FALSE)/HLOOKUP("Mins",A1:CV300,151,FALSE)* 90)</f>
      </c>
      <c r="AV151" s="26960">
        <f>IF(HLOOKUP("Apps",A1:CV300,151,FALSE)=0,0,HLOOKUP("Pts",A1:CV300,151,FALSE)/HLOOKUP("Apps",A1:CV300,151,FALSE)* 1)</f>
      </c>
      <c r="AW151" s="26961">
        <f>IF(HLOOKUP("Mins",A1:CV300,151,FALSE)=0,0,HLOOKUP("Gs",A1:CV300,151,FALSE)/HLOOKUP("Mins",A1:CV300,151,FALSE)* 90)</f>
      </c>
      <c r="AX151" s="26962">
        <f>IF(HLOOKUP("Mins",A1:CV300,151,FALSE)=0,0,HLOOKUP("Bonus",A1:CV300,151,FALSE)/HLOOKUP("Mins",A1:CV300,151,FALSE)* 90)</f>
      </c>
      <c r="AY151" s="26963">
        <f>IF(HLOOKUP("Mins",A1:CV300,151,FALSE)=0,0,HLOOKUP("BPS",A1:CV300,151,FALSE)/HLOOKUP("Mins",A1:CV300,151,FALSE)* 90)</f>
      </c>
      <c r="AZ151" s="26964">
        <f>IF(HLOOKUP("Mins",A1:CV300,151,FALSE)=0,0,HLOOKUP("Base BPS",A1:CV300,151,FALSE)/HLOOKUP("Mins",A1:CV300,151,FALSE)* 90)</f>
      </c>
      <c r="BA151" s="26965">
        <f>IF(HLOOKUP("Mins",A1:CV300,151,FALSE)=0,0,HLOOKUP("PenTchs",A1:CV300,151,FALSE)/HLOOKUP("Mins",A1:CV300,151,FALSE)* 90)</f>
      </c>
      <c r="BB151" s="26966">
        <f>IF(HLOOKUP("Mins",A1:CV300,151,FALSE)=0,0,HLOOKUP("Shots",A1:CV300,151,FALSE)/HLOOKUP("Mins",A1:CV300,151,FALSE)* 90)</f>
      </c>
      <c r="BC151" s="26967">
        <f>IF(HLOOKUP("Mins",A1:CV300,151,FALSE)=0,0,HLOOKUP("SIB",A1:CV300,151,FALSE)/HLOOKUP("Mins",A1:CV300,151,FALSE)* 90)</f>
      </c>
      <c r="BD151" s="26968">
        <f>IF(HLOOKUP("Mins",A1:CV300,151,FALSE)=0,0,HLOOKUP("S6YD",A1:CV300,151,FALSE)/HLOOKUP("Mins",A1:CV300,151,FALSE)* 90)</f>
      </c>
      <c r="BE151" s="26969">
        <f>IF(HLOOKUP("Mins",A1:CV300,151,FALSE)=0,0,HLOOKUP("Headers",A1:CV300,151,FALSE)/HLOOKUP("Mins",A1:CV300,151,FALSE)* 90)</f>
      </c>
      <c r="BF151" s="26970">
        <f>IF(HLOOKUP("Mins",A1:CV300,151,FALSE)=0,0,HLOOKUP("SOT",A1:CV300,151,FALSE)/HLOOKUP("Mins",A1:CV300,151,FALSE)* 90)</f>
      </c>
      <c r="BG151" s="26971">
        <f>IF(HLOOKUP("Mins",A1:CV300,151,FALSE)=0,0,HLOOKUP("As",A1:CV300,151,FALSE)/HLOOKUP("Mins",A1:CV300,151,FALSE)* 90)</f>
      </c>
      <c r="BH151" s="26972">
        <f>IF(HLOOKUP("Mins",A1:CV300,151,FALSE)=0,0,HLOOKUP("FPL As",A1:CV300,151,FALSE)/HLOOKUP("Mins",A1:CV300,151,FALSE)* 90)</f>
      </c>
      <c r="BI151" s="26973">
        <f>IF(HLOOKUP("Mins",A1:CV300,151,FALSE)=0,0,HLOOKUP("BC Created",A1:CV300,151,FALSE)/HLOOKUP("Mins",A1:CV300,151,FALSE)* 90)</f>
      </c>
      <c r="BJ151" s="26974">
        <f>IF(HLOOKUP("Mins",A1:CV300,151,FALSE)=0,0,HLOOKUP("KP",A1:CV300,151,FALSE)/HLOOKUP("Mins",A1:CV300,151,FALSE)* 90)</f>
      </c>
      <c r="BK151" s="26975">
        <f>IF(HLOOKUP("Mins",A1:CV300,151,FALSE)=0,0,HLOOKUP("BC",A1:CV300,151,FALSE)/HLOOKUP("Mins",A1:CV300,151,FALSE)* 90)</f>
      </c>
      <c r="BL151" s="26976">
        <f>IF(HLOOKUP("Mins",A1:CV300,151,FALSE)=0,0,HLOOKUP("BC Miss",A1:CV300,151,FALSE)/HLOOKUP("Mins",A1:CV300,151,FALSE)* 90)</f>
      </c>
      <c r="BM151" s="26977">
        <f>IF(HLOOKUP("Mins",A1:CV300,151,FALSE)=0,0,HLOOKUP("Gs - BC",A1:CV300,151,FALSE)/HLOOKUP("Mins",A1:CV300,151,FALSE)* 90)</f>
      </c>
      <c r="BN151" s="26978">
        <f>IF(HLOOKUP("Mins",A1:CV300,151,FALSE)=0,0,HLOOKUP("GIB",A1:CV300,151,FALSE)/HLOOKUP("Mins",A1:CV300,151,FALSE)* 90)</f>
      </c>
      <c r="BO151" s="26979">
        <f>IF(HLOOKUP("Mins",A1:CV300,151,FALSE)=0,0,HLOOKUP("Gs - Open",A1:CV300,151,FALSE)/HLOOKUP("Mins",A1:CV300,151,FALSE)* 90)</f>
      </c>
      <c r="BP151" s="26980">
        <f>IF(HLOOKUP("Mins",A1:CV300,151,FALSE)=0,0,HLOOKUP("ICT Index",A1:CV300,151,FALSE)/HLOOKUP("Mins",A1:CV300,151,FALSE)* 90)</f>
      </c>
      <c r="BQ151" s="26981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26982">
        <f>0.0885*HLOOKUP("KP/90",A1:CV300,151,FALSE)</f>
      </c>
      <c r="BS151" s="26983">
        <f>5*HLOOKUP("xG/90",A1:CV300,151,FALSE)+3*HLOOKUP("xA/90",A1:CV300,151,FALSE)</f>
      </c>
      <c r="BT151" s="26984">
        <f>HLOOKUP("xPts/90",A1:CV300,151,FALSE)-(5*0.75*(HLOOKUP("PK Gs",A1:CV300,151,FALSE)+HLOOKUP("PK Miss",A1:CV300,151,FALSE))*90/HLOOKUP("Mins",A1:CV300,151,FALSE))</f>
      </c>
      <c r="BU151" s="26985">
        <f>IF(HLOOKUP("Mins",A1:CV300,151,FALSE)=0,0,HLOOKUP("fsXG",A1:CV300,151,FALSE)/HLOOKUP("Mins",A1:CV300,151,FALSE)* 90)</f>
      </c>
      <c r="BV151" s="26986">
        <f>IF(HLOOKUP("Mins",A1:CV300,151,FALSE)=0,0,HLOOKUP("fsXA",A1:CV300,151,FALSE)/HLOOKUP("Mins",A1:CV300,151,FALSE)* 90)</f>
      </c>
      <c r="BW151" s="26987">
        <f>5*HLOOKUP("fsXG/90",A1:CV300,151,FALSE)+3*HLOOKUP("fsXA/90",A1:CV300,151,FALSE)</f>
      </c>
      <c r="BX151" t="n" s="26988">
        <v>0.1060018539428711</v>
      </c>
      <c r="BY151" t="n" s="26989">
        <v>1.020167589187622</v>
      </c>
      <c r="BZ151" s="26990">
        <f>5*HLOOKUP("uXG/90",A1:CV300,151,FALSE)+3*HLOOKUP("uXA/90",A1:CV300,151,FALSE)</f>
      </c>
    </row>
    <row r="152">
      <c r="A152" t="s" s="26991">
        <v>443</v>
      </c>
      <c r="B152" t="s" s="26992">
        <v>105</v>
      </c>
      <c r="C152" t="n" s="26993">
        <v>5.400000095367432</v>
      </c>
      <c r="D152" t="n" s="26994">
        <v>442.0</v>
      </c>
      <c r="E152" t="n" s="26995">
        <v>6.0</v>
      </c>
      <c r="F152" t="n" s="26996">
        <v>55.0</v>
      </c>
      <c r="G152" t="n" s="26997">
        <v>0.0</v>
      </c>
      <c r="H152" t="n" s="26998">
        <v>3.0</v>
      </c>
      <c r="I152" t="n" s="26999">
        <v>338.0</v>
      </c>
      <c r="J152" s="27000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27001">
        <v>0.0</v>
      </c>
      <c r="L152" t="n" s="27002">
        <v>7.0</v>
      </c>
      <c r="M152" t="n" s="27003">
        <v>1.0</v>
      </c>
      <c r="N152" t="n" s="27004">
        <v>2.0</v>
      </c>
      <c r="O152" t="n" s="27005">
        <v>0.0</v>
      </c>
      <c r="P152" s="27006">
        <f>IF(HLOOKUP("Shots",A1:CV300,152,FALSE)=0,0,HLOOKUP("SIB",A1:CV300,152,FALSE)/HLOOKUP("Shots",A1:CV300,152,FALSE))</f>
      </c>
      <c r="Q152" t="n" s="27007">
        <v>0.0</v>
      </c>
      <c r="R152" s="27008">
        <f>IF(HLOOKUP("Shots",A1:CV300,152,FALSE)=0,0,HLOOKUP("S6YD",A1:CV300,152,FALSE)/HLOOKUP("Shots",A1:CV300,152,FALSE))</f>
      </c>
      <c r="S152" t="n" s="27009">
        <v>0.0</v>
      </c>
      <c r="T152" s="27010">
        <f>IF(HLOOKUP("Shots",A1:CV300,152,FALSE)=0,0,HLOOKUP("Headers",A1:CV300,152,FALSE)/HLOOKUP("Shots",A1:CV300,152,FALSE))</f>
      </c>
      <c r="U152" t="n" s="27011">
        <v>0.0</v>
      </c>
      <c r="V152" s="27012">
        <f>IF(HLOOKUP("Shots",A1:CV300,152,FALSE)=0,0,HLOOKUP("SOT",A1:CV300,152,FALSE)/HLOOKUP("Shots",A1:CV300,152,FALSE))</f>
      </c>
      <c r="W152" s="27013">
        <f>IF(HLOOKUP("Shots",A1:CV300,152,FALSE)=0,0,HLOOKUP("Gs",A1:CV300,152,FALSE)/HLOOKUP("Shots",A1:CV300,152,FALSE))</f>
      </c>
      <c r="X152" t="n" s="27014">
        <v>0.0</v>
      </c>
      <c r="Y152" t="n" s="27015">
        <v>1.0</v>
      </c>
      <c r="Z152" t="n" s="27016">
        <v>4.0</v>
      </c>
      <c r="AA152" s="27017">
        <f>IF(HLOOKUP("KP",A1:CV300,152,FALSE)=0,0,HLOOKUP("As",A1:CV300,152,FALSE)/HLOOKUP("KP",A1:CV300,152,FALSE))</f>
      </c>
      <c r="AB152" s="27018"/>
      <c r="AC152" t="n" s="27019">
        <v>0.0</v>
      </c>
      <c r="AD152" t="n" s="27020">
        <v>0.0</v>
      </c>
      <c r="AE152" t="n" s="27021">
        <v>0.0</v>
      </c>
      <c r="AF152" t="n" s="27022">
        <v>0.0</v>
      </c>
      <c r="AG152" s="27023">
        <f>IF(HLOOKUP("BC",A1:CV300,152,FALSE)=0,0,HLOOKUP("Gs - BC",A1:CV300,152,FALSE)/HLOOKUP("BC",A1:CV300,152,FALSE))</f>
      </c>
      <c r="AH152" s="27024">
        <f>HLOOKUP("BC",A1:CV300,152,FALSE) - HLOOKUP("BC Miss",A1:CV300,152,FALSE)</f>
      </c>
      <c r="AI152" s="27025">
        <f>IF(HLOOKUP("Gs",A1:CV300,152,FALSE)=0,0,HLOOKUP("Gs - BC",A1:CV300,152,FALSE)/HLOOKUP("Gs",A1:CV300,152,FALSE))</f>
      </c>
      <c r="AJ152" t="n" s="27026">
        <v>0.0</v>
      </c>
      <c r="AK152" t="n" s="27027">
        <v>0.0</v>
      </c>
      <c r="AL152" s="27028">
        <f>HLOOKUP("BC",A1:CV300,152,FALSE) - (HLOOKUP("PK Gs",A1:CV300,152,FALSE) + HLOOKUP("PK Miss",A1:CV300,152,FALSE))</f>
      </c>
      <c r="AM152" s="27029">
        <f>HLOOKUP("BC Miss",A1:CV300,152,FALSE) - HLOOKUP("PK Miss",A1:CV300,152,FALSE)</f>
      </c>
      <c r="AN152" s="27030">
        <f>IF(HLOOKUP("BC - Open",A1:CV300,152,FALSE)=0,0,HLOOKUP("BC - Open Miss",A1:CV300,152,FALSE)/HLOOKUP("BC - Open",A1:CV300,152,FALSE))</f>
      </c>
      <c r="AO152" t="n" s="27031">
        <v>0.0</v>
      </c>
      <c r="AP152" s="27032">
        <f>IF(HLOOKUP("Gs",A1:CV300,152,FALSE)=0,0,HLOOKUP("GIB",A1:CV300,152,FALSE)/HLOOKUP("Gs",A1:CV300,152,FALSE))</f>
      </c>
      <c r="AQ152" t="n" s="27033">
        <v>0.0</v>
      </c>
      <c r="AR152" s="27034">
        <f>IF(HLOOKUP("Gs",A1:CV300,152,FALSE)=0,0,HLOOKUP("Gs - Open",A1:CV300,152,FALSE)/HLOOKUP("Gs",A1:CV300,152,FALSE))</f>
      </c>
      <c r="AS152" t="n" s="27035">
        <v>0.08</v>
      </c>
      <c r="AT152" t="n" s="27036">
        <v>0.29</v>
      </c>
      <c r="AU152" s="27037">
        <f>IF(HLOOKUP("Mins",A1:CV300,152,FALSE)=0,0,HLOOKUP("Pts",A1:CV300,152,FALSE)/HLOOKUP("Mins",A1:CV300,152,FALSE)* 90)</f>
      </c>
      <c r="AV152" s="27038">
        <f>IF(HLOOKUP("Apps",A1:CV300,152,FALSE)=0,0,HLOOKUP("Pts",A1:CV300,152,FALSE)/HLOOKUP("Apps",A1:CV300,152,FALSE)* 1)</f>
      </c>
      <c r="AW152" s="27039">
        <f>IF(HLOOKUP("Mins",A1:CV300,152,FALSE)=0,0,HLOOKUP("Gs",A1:CV300,152,FALSE)/HLOOKUP("Mins",A1:CV300,152,FALSE)* 90)</f>
      </c>
      <c r="AX152" s="27040">
        <f>IF(HLOOKUP("Mins",A1:CV300,152,FALSE)=0,0,HLOOKUP("Bonus",A1:CV300,152,FALSE)/HLOOKUP("Mins",A1:CV300,152,FALSE)* 90)</f>
      </c>
      <c r="AY152" s="27041">
        <f>IF(HLOOKUP("Mins",A1:CV300,152,FALSE)=0,0,HLOOKUP("BPS",A1:CV300,152,FALSE)/HLOOKUP("Mins",A1:CV300,152,FALSE)* 90)</f>
      </c>
      <c r="AZ152" s="27042">
        <f>IF(HLOOKUP("Mins",A1:CV300,152,FALSE)=0,0,HLOOKUP("Base BPS",A1:CV300,152,FALSE)/HLOOKUP("Mins",A1:CV300,152,FALSE)* 90)</f>
      </c>
      <c r="BA152" s="27043">
        <f>IF(HLOOKUP("Mins",A1:CV300,152,FALSE)=0,0,HLOOKUP("PenTchs",A1:CV300,152,FALSE)/HLOOKUP("Mins",A1:CV300,152,FALSE)* 90)</f>
      </c>
      <c r="BB152" s="27044">
        <f>IF(HLOOKUP("Mins",A1:CV300,152,FALSE)=0,0,HLOOKUP("Shots",A1:CV300,152,FALSE)/HLOOKUP("Mins",A1:CV300,152,FALSE)* 90)</f>
      </c>
      <c r="BC152" s="27045">
        <f>IF(HLOOKUP("Mins",A1:CV300,152,FALSE)=0,0,HLOOKUP("SIB",A1:CV300,152,FALSE)/HLOOKUP("Mins",A1:CV300,152,FALSE)* 90)</f>
      </c>
      <c r="BD152" s="27046">
        <f>IF(HLOOKUP("Mins",A1:CV300,152,FALSE)=0,0,HLOOKUP("S6YD",A1:CV300,152,FALSE)/HLOOKUP("Mins",A1:CV300,152,FALSE)* 90)</f>
      </c>
      <c r="BE152" s="27047">
        <f>IF(HLOOKUP("Mins",A1:CV300,152,FALSE)=0,0,HLOOKUP("Headers",A1:CV300,152,FALSE)/HLOOKUP("Mins",A1:CV300,152,FALSE)* 90)</f>
      </c>
      <c r="BF152" s="27048">
        <f>IF(HLOOKUP("Mins",A1:CV300,152,FALSE)=0,0,HLOOKUP("SOT",A1:CV300,152,FALSE)/HLOOKUP("Mins",A1:CV300,152,FALSE)* 90)</f>
      </c>
      <c r="BG152" s="27049">
        <f>IF(HLOOKUP("Mins",A1:CV300,152,FALSE)=0,0,HLOOKUP("As",A1:CV300,152,FALSE)/HLOOKUP("Mins",A1:CV300,152,FALSE)* 90)</f>
      </c>
      <c r="BH152" s="27050">
        <f>IF(HLOOKUP("Mins",A1:CV300,152,FALSE)=0,0,HLOOKUP("FPL As",A1:CV300,152,FALSE)/HLOOKUP("Mins",A1:CV300,152,FALSE)* 90)</f>
      </c>
      <c r="BI152" s="27051">
        <f>IF(HLOOKUP("Mins",A1:CV300,152,FALSE)=0,0,HLOOKUP("BC Created",A1:CV300,152,FALSE)/HLOOKUP("Mins",A1:CV300,152,FALSE)* 90)</f>
      </c>
      <c r="BJ152" s="27052">
        <f>IF(HLOOKUP("Mins",A1:CV300,152,FALSE)=0,0,HLOOKUP("KP",A1:CV300,152,FALSE)/HLOOKUP("Mins",A1:CV300,152,FALSE)* 90)</f>
      </c>
      <c r="BK152" s="27053">
        <f>IF(HLOOKUP("Mins",A1:CV300,152,FALSE)=0,0,HLOOKUP("BC",A1:CV300,152,FALSE)/HLOOKUP("Mins",A1:CV300,152,FALSE)* 90)</f>
      </c>
      <c r="BL152" s="27054">
        <f>IF(HLOOKUP("Mins",A1:CV300,152,FALSE)=0,0,HLOOKUP("BC Miss",A1:CV300,152,FALSE)/HLOOKUP("Mins",A1:CV300,152,FALSE)* 90)</f>
      </c>
      <c r="BM152" s="27055">
        <f>IF(HLOOKUP("Mins",A1:CV300,152,FALSE)=0,0,HLOOKUP("Gs - BC",A1:CV300,152,FALSE)/HLOOKUP("Mins",A1:CV300,152,FALSE)* 90)</f>
      </c>
      <c r="BN152" s="27056">
        <f>IF(HLOOKUP("Mins",A1:CV300,152,FALSE)=0,0,HLOOKUP("GIB",A1:CV300,152,FALSE)/HLOOKUP("Mins",A1:CV300,152,FALSE)* 90)</f>
      </c>
      <c r="BO152" s="27057">
        <f>IF(HLOOKUP("Mins",A1:CV300,152,FALSE)=0,0,HLOOKUP("Gs - Open",A1:CV300,152,FALSE)/HLOOKUP("Mins",A1:CV300,152,FALSE)* 90)</f>
      </c>
      <c r="BP152" s="27058">
        <f>IF(HLOOKUP("Mins",A1:CV300,152,FALSE)=0,0,HLOOKUP("ICT Index",A1:CV300,152,FALSE)/HLOOKUP("Mins",A1:CV300,152,FALSE)* 90)</f>
      </c>
      <c r="BQ152" s="27059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27060">
        <f>0.0885*HLOOKUP("KP/90",A1:CV300,152,FALSE)</f>
      </c>
      <c r="BS152" s="27061">
        <f>5*HLOOKUP("xG/90",A1:CV300,152,FALSE)+3*HLOOKUP("xA/90",A1:CV300,152,FALSE)</f>
      </c>
      <c r="BT152" s="27062">
        <f>HLOOKUP("xPts/90",A1:CV300,152,FALSE)-(5*0.75*(HLOOKUP("PK Gs",A1:CV300,152,FALSE)+HLOOKUP("PK Miss",A1:CV300,152,FALSE))*90/HLOOKUP("Mins",A1:CV300,152,FALSE))</f>
      </c>
      <c r="BU152" s="27063">
        <f>IF(HLOOKUP("Mins",A1:CV300,152,FALSE)=0,0,HLOOKUP("fsXG",A1:CV300,152,FALSE)/HLOOKUP("Mins",A1:CV300,152,FALSE)* 90)</f>
      </c>
      <c r="BV152" s="27064">
        <f>IF(HLOOKUP("Mins",A1:CV300,152,FALSE)=0,0,HLOOKUP("fsXA",A1:CV300,152,FALSE)/HLOOKUP("Mins",A1:CV300,152,FALSE)* 90)</f>
      </c>
      <c r="BW152" s="27065">
        <f>5*HLOOKUP("fsXG/90",A1:CV300,152,FALSE)+3*HLOOKUP("fsXA/90",A1:CV300,152,FALSE)</f>
      </c>
      <c r="BX152" t="n" s="27066">
        <v>0.013080736622214317</v>
      </c>
      <c r="BY152" t="n" s="27067">
        <v>0.035055696964263916</v>
      </c>
      <c r="BZ152" s="27068">
        <f>5*HLOOKUP("uXG/90",A1:CV300,152,FALSE)+3*HLOOKUP("uXA/90",A1:CV300,152,FALSE)</f>
      </c>
    </row>
    <row r="153">
      <c r="A153" t="s" s="27069">
        <v>444</v>
      </c>
      <c r="B153" t="s" s="27070">
        <v>98</v>
      </c>
      <c r="C153" t="n" s="27071">
        <v>5.199999809265137</v>
      </c>
      <c r="D153" t="n" s="27072">
        <v>357.0</v>
      </c>
      <c r="E153" t="n" s="27073">
        <v>6.0</v>
      </c>
      <c r="F153" t="n" s="27074">
        <v>34.0</v>
      </c>
      <c r="G153" t="n" s="27075">
        <v>1.0</v>
      </c>
      <c r="H153" t="n" s="27076">
        <v>3.0</v>
      </c>
      <c r="I153" t="n" s="27077">
        <v>88.0</v>
      </c>
      <c r="J153" s="27078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27079">
        <v>0.0</v>
      </c>
      <c r="L153" t="n" s="27080">
        <v>2.0</v>
      </c>
      <c r="M153" t="n" s="27081">
        <v>9.0</v>
      </c>
      <c r="N153" t="n" s="27082">
        <v>7.0</v>
      </c>
      <c r="O153" t="n" s="27083">
        <v>2.0</v>
      </c>
      <c r="P153" s="27084">
        <f>IF(HLOOKUP("Shots",A1:CV300,153,FALSE)=0,0,HLOOKUP("SIB",A1:CV300,153,FALSE)/HLOOKUP("Shots",A1:CV300,153,FALSE))</f>
      </c>
      <c r="Q153" t="n" s="27085">
        <v>0.0</v>
      </c>
      <c r="R153" s="27086">
        <f>IF(HLOOKUP("Shots",A1:CV300,153,FALSE)=0,0,HLOOKUP("S6YD",A1:CV300,153,FALSE)/HLOOKUP("Shots",A1:CV300,153,FALSE))</f>
      </c>
      <c r="S153" t="n" s="27087">
        <v>1.0</v>
      </c>
      <c r="T153" s="27088">
        <f>IF(HLOOKUP("Shots",A1:CV300,153,FALSE)=0,0,HLOOKUP("Headers",A1:CV300,153,FALSE)/HLOOKUP("Shots",A1:CV300,153,FALSE))</f>
      </c>
      <c r="U153" t="n" s="27089">
        <v>3.0</v>
      </c>
      <c r="V153" s="27090">
        <f>IF(HLOOKUP("Shots",A1:CV300,153,FALSE)=0,0,HLOOKUP("SOT",A1:CV300,153,FALSE)/HLOOKUP("Shots",A1:CV300,153,FALSE))</f>
      </c>
      <c r="W153" s="27091">
        <f>IF(HLOOKUP("Shots",A1:CV300,153,FALSE)=0,0,HLOOKUP("Gs",A1:CV300,153,FALSE)/HLOOKUP("Shots",A1:CV300,153,FALSE))</f>
      </c>
      <c r="X153" t="n" s="27092">
        <v>0.0</v>
      </c>
      <c r="Y153" t="n" s="27093">
        <v>1.0</v>
      </c>
      <c r="Z153" t="n" s="27094">
        <v>5.0</v>
      </c>
      <c r="AA153" s="27095">
        <f>IF(HLOOKUP("KP",A1:CV300,153,FALSE)=0,0,HLOOKUP("As",A1:CV300,153,FALSE)/HLOOKUP("KP",A1:CV300,153,FALSE))</f>
      </c>
      <c r="AB153" s="27096"/>
      <c r="AC153" t="n" s="27097">
        <v>12.0</v>
      </c>
      <c r="AD153" t="n" s="27098">
        <v>1.0</v>
      </c>
      <c r="AE153" t="n" s="27099">
        <v>0.0</v>
      </c>
      <c r="AF153" t="n" s="27100">
        <v>0.0</v>
      </c>
      <c r="AG153" s="27101">
        <f>IF(HLOOKUP("BC",A1:CV300,153,FALSE)=0,0,HLOOKUP("Gs - BC",A1:CV300,153,FALSE)/HLOOKUP("BC",A1:CV300,153,FALSE))</f>
      </c>
      <c r="AH153" s="27102">
        <f>HLOOKUP("BC",A1:CV300,153,FALSE) - HLOOKUP("BC Miss",A1:CV300,153,FALSE)</f>
      </c>
      <c r="AI153" s="27103">
        <f>IF(HLOOKUP("Gs",A1:CV300,153,FALSE)=0,0,HLOOKUP("Gs - BC",A1:CV300,153,FALSE)/HLOOKUP("Gs",A1:CV300,153,FALSE))</f>
      </c>
      <c r="AJ153" t="n" s="27104">
        <v>0.0</v>
      </c>
      <c r="AK153" t="n" s="27105">
        <v>0.0</v>
      </c>
      <c r="AL153" s="27106">
        <f>HLOOKUP("BC",A1:CV300,153,FALSE) - (HLOOKUP("PK Gs",A1:CV300,153,FALSE) + HLOOKUP("PK Miss",A1:CV300,153,FALSE))</f>
      </c>
      <c r="AM153" s="27107">
        <f>HLOOKUP("BC Miss",A1:CV300,153,FALSE) - HLOOKUP("PK Miss",A1:CV300,153,FALSE)</f>
      </c>
      <c r="AN153" s="27108">
        <f>IF(HLOOKUP("BC - Open",A1:CV300,153,FALSE)=0,0,HLOOKUP("BC - Open Miss",A1:CV300,153,FALSE)/HLOOKUP("BC - Open",A1:CV300,153,FALSE))</f>
      </c>
      <c r="AO153" t="n" s="27109">
        <v>1.0</v>
      </c>
      <c r="AP153" s="27110">
        <f>IF(HLOOKUP("Gs",A1:CV300,153,FALSE)=0,0,HLOOKUP("GIB",A1:CV300,153,FALSE)/HLOOKUP("Gs",A1:CV300,153,FALSE))</f>
      </c>
      <c r="AQ153" t="n" s="27111">
        <v>1.0</v>
      </c>
      <c r="AR153" s="27112">
        <f>IF(HLOOKUP("Gs",A1:CV300,153,FALSE)=0,0,HLOOKUP("Gs - Open",A1:CV300,153,FALSE)/HLOOKUP("Gs",A1:CV300,153,FALSE))</f>
      </c>
      <c r="AS153" t="n" s="27113">
        <v>0.26</v>
      </c>
      <c r="AT153" t="n" s="27114">
        <v>0.55</v>
      </c>
      <c r="AU153" s="27115">
        <f>IF(HLOOKUP("Mins",A1:CV300,153,FALSE)=0,0,HLOOKUP("Pts",A1:CV300,153,FALSE)/HLOOKUP("Mins",A1:CV300,153,FALSE)* 90)</f>
      </c>
      <c r="AV153" s="27116">
        <f>IF(HLOOKUP("Apps",A1:CV300,153,FALSE)=0,0,HLOOKUP("Pts",A1:CV300,153,FALSE)/HLOOKUP("Apps",A1:CV300,153,FALSE)* 1)</f>
      </c>
      <c r="AW153" s="27117">
        <f>IF(HLOOKUP("Mins",A1:CV300,153,FALSE)=0,0,HLOOKUP("Gs",A1:CV300,153,FALSE)/HLOOKUP("Mins",A1:CV300,153,FALSE)* 90)</f>
      </c>
      <c r="AX153" s="27118">
        <f>IF(HLOOKUP("Mins",A1:CV300,153,FALSE)=0,0,HLOOKUP("Bonus",A1:CV300,153,FALSE)/HLOOKUP("Mins",A1:CV300,153,FALSE)* 90)</f>
      </c>
      <c r="AY153" s="27119">
        <f>IF(HLOOKUP("Mins",A1:CV300,153,FALSE)=0,0,HLOOKUP("BPS",A1:CV300,153,FALSE)/HLOOKUP("Mins",A1:CV300,153,FALSE)* 90)</f>
      </c>
      <c r="AZ153" s="27120">
        <f>IF(HLOOKUP("Mins",A1:CV300,153,FALSE)=0,0,HLOOKUP("Base BPS",A1:CV300,153,FALSE)/HLOOKUP("Mins",A1:CV300,153,FALSE)* 90)</f>
      </c>
      <c r="BA153" s="27121">
        <f>IF(HLOOKUP("Mins",A1:CV300,153,FALSE)=0,0,HLOOKUP("PenTchs",A1:CV300,153,FALSE)/HLOOKUP("Mins",A1:CV300,153,FALSE)* 90)</f>
      </c>
      <c r="BB153" s="27122">
        <f>IF(HLOOKUP("Mins",A1:CV300,153,FALSE)=0,0,HLOOKUP("Shots",A1:CV300,153,FALSE)/HLOOKUP("Mins",A1:CV300,153,FALSE)* 90)</f>
      </c>
      <c r="BC153" s="27123">
        <f>IF(HLOOKUP("Mins",A1:CV300,153,FALSE)=0,0,HLOOKUP("SIB",A1:CV300,153,FALSE)/HLOOKUP("Mins",A1:CV300,153,FALSE)* 90)</f>
      </c>
      <c r="BD153" s="27124">
        <f>IF(HLOOKUP("Mins",A1:CV300,153,FALSE)=0,0,HLOOKUP("S6YD",A1:CV300,153,FALSE)/HLOOKUP("Mins",A1:CV300,153,FALSE)* 90)</f>
      </c>
      <c r="BE153" s="27125">
        <f>IF(HLOOKUP("Mins",A1:CV300,153,FALSE)=0,0,HLOOKUP("Headers",A1:CV300,153,FALSE)/HLOOKUP("Mins",A1:CV300,153,FALSE)* 90)</f>
      </c>
      <c r="BF153" s="27126">
        <f>IF(HLOOKUP("Mins",A1:CV300,153,FALSE)=0,0,HLOOKUP("SOT",A1:CV300,153,FALSE)/HLOOKUP("Mins",A1:CV300,153,FALSE)* 90)</f>
      </c>
      <c r="BG153" s="27127">
        <f>IF(HLOOKUP("Mins",A1:CV300,153,FALSE)=0,0,HLOOKUP("As",A1:CV300,153,FALSE)/HLOOKUP("Mins",A1:CV300,153,FALSE)* 90)</f>
      </c>
      <c r="BH153" s="27128">
        <f>IF(HLOOKUP("Mins",A1:CV300,153,FALSE)=0,0,HLOOKUP("FPL As",A1:CV300,153,FALSE)/HLOOKUP("Mins",A1:CV300,153,FALSE)* 90)</f>
      </c>
      <c r="BI153" s="27129">
        <f>IF(HLOOKUP("Mins",A1:CV300,153,FALSE)=0,0,HLOOKUP("BC Created",A1:CV300,153,FALSE)/HLOOKUP("Mins",A1:CV300,153,FALSE)* 90)</f>
      </c>
      <c r="BJ153" s="27130">
        <f>IF(HLOOKUP("Mins",A1:CV300,153,FALSE)=0,0,HLOOKUP("KP",A1:CV300,153,FALSE)/HLOOKUP("Mins",A1:CV300,153,FALSE)* 90)</f>
      </c>
      <c r="BK153" s="27131">
        <f>IF(HLOOKUP("Mins",A1:CV300,153,FALSE)=0,0,HLOOKUP("BC",A1:CV300,153,FALSE)/HLOOKUP("Mins",A1:CV300,153,FALSE)* 90)</f>
      </c>
      <c r="BL153" s="27132">
        <f>IF(HLOOKUP("Mins",A1:CV300,153,FALSE)=0,0,HLOOKUP("BC Miss",A1:CV300,153,FALSE)/HLOOKUP("Mins",A1:CV300,153,FALSE)* 90)</f>
      </c>
      <c r="BM153" s="27133">
        <f>IF(HLOOKUP("Mins",A1:CV300,153,FALSE)=0,0,HLOOKUP("Gs - BC",A1:CV300,153,FALSE)/HLOOKUP("Mins",A1:CV300,153,FALSE)* 90)</f>
      </c>
      <c r="BN153" s="27134">
        <f>IF(HLOOKUP("Mins",A1:CV300,153,FALSE)=0,0,HLOOKUP("GIB",A1:CV300,153,FALSE)/HLOOKUP("Mins",A1:CV300,153,FALSE)* 90)</f>
      </c>
      <c r="BO153" s="27135">
        <f>IF(HLOOKUP("Mins",A1:CV300,153,FALSE)=0,0,HLOOKUP("Gs - Open",A1:CV300,153,FALSE)/HLOOKUP("Mins",A1:CV300,153,FALSE)* 90)</f>
      </c>
      <c r="BP153" s="27136">
        <f>IF(HLOOKUP("Mins",A1:CV300,153,FALSE)=0,0,HLOOKUP("ICT Index",A1:CV300,153,FALSE)/HLOOKUP("Mins",A1:CV300,153,FALSE)* 90)</f>
      </c>
      <c r="BQ153" s="27137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27138">
        <f>0.0885*HLOOKUP("KP/90",A1:CV300,153,FALSE)</f>
      </c>
      <c r="BS153" s="27139">
        <f>5*HLOOKUP("xG/90",A1:CV300,153,FALSE)+3*HLOOKUP("xA/90",A1:CV300,153,FALSE)</f>
      </c>
      <c r="BT153" s="27140">
        <f>HLOOKUP("xPts/90",A1:CV300,153,FALSE)-(5*0.75*(HLOOKUP("PK Gs",A1:CV300,153,FALSE)+HLOOKUP("PK Miss",A1:CV300,153,FALSE))*90/HLOOKUP("Mins",A1:CV300,153,FALSE))</f>
      </c>
      <c r="BU153" s="27141">
        <f>IF(HLOOKUP("Mins",A1:CV300,153,FALSE)=0,0,HLOOKUP("fsXG",A1:CV300,153,FALSE)/HLOOKUP("Mins",A1:CV300,153,FALSE)* 90)</f>
      </c>
      <c r="BV153" s="27142">
        <f>IF(HLOOKUP("Mins",A1:CV300,153,FALSE)=0,0,HLOOKUP("fsXA",A1:CV300,153,FALSE)/HLOOKUP("Mins",A1:CV300,153,FALSE)* 90)</f>
      </c>
      <c r="BW153" s="27143">
        <f>5*HLOOKUP("fsXG/90",A1:CV300,153,FALSE)+3*HLOOKUP("fsXA/90",A1:CV300,153,FALSE)</f>
      </c>
      <c r="BX153" t="n" s="27144">
        <v>0.08034998178482056</v>
      </c>
      <c r="BY153" t="n" s="27145">
        <v>0.18667705357074738</v>
      </c>
      <c r="BZ153" s="27146">
        <f>5*HLOOKUP("uXG/90",A1:CV300,153,FALSE)+3*HLOOKUP("uXA/90",A1:CV300,153,FALSE)</f>
      </c>
    </row>
    <row r="154">
      <c r="A154" t="s" s="27147">
        <v>445</v>
      </c>
      <c r="B154" t="s" s="27148">
        <v>109</v>
      </c>
      <c r="C154" t="n" s="27149">
        <v>4.5</v>
      </c>
      <c r="D154" t="n" s="27150">
        <v>220.0</v>
      </c>
      <c r="E154" t="n" s="27151">
        <v>5.0</v>
      </c>
      <c r="F154" t="n" s="27152">
        <v>27.0</v>
      </c>
      <c r="G154" t="n" s="27153">
        <v>0.0</v>
      </c>
      <c r="H154" t="n" s="27154">
        <v>0.0</v>
      </c>
      <c r="I154" t="n" s="27155">
        <v>152.0</v>
      </c>
      <c r="J154" s="27156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27157">
        <v>0.0</v>
      </c>
      <c r="L154" t="n" s="27158">
        <v>3.0</v>
      </c>
      <c r="M154" t="n" s="27159">
        <v>6.0</v>
      </c>
      <c r="N154" t="n" s="27160">
        <v>5.0</v>
      </c>
      <c r="O154" t="n" s="27161">
        <v>2.0</v>
      </c>
      <c r="P154" s="27162">
        <f>IF(HLOOKUP("Shots",A1:CV300,154,FALSE)=0,0,HLOOKUP("SIB",A1:CV300,154,FALSE)/HLOOKUP("Shots",A1:CV300,154,FALSE))</f>
      </c>
      <c r="Q154" t="n" s="27163">
        <v>0.0</v>
      </c>
      <c r="R154" s="27164">
        <f>IF(HLOOKUP("Shots",A1:CV300,154,FALSE)=0,0,HLOOKUP("S6YD",A1:CV300,154,FALSE)/HLOOKUP("Shots",A1:CV300,154,FALSE))</f>
      </c>
      <c r="S154" t="n" s="27165">
        <v>0.0</v>
      </c>
      <c r="T154" s="27166">
        <f>IF(HLOOKUP("Shots",A1:CV300,154,FALSE)=0,0,HLOOKUP("Headers",A1:CV300,154,FALSE)/HLOOKUP("Shots",A1:CV300,154,FALSE))</f>
      </c>
      <c r="U154" t="n" s="27167">
        <v>1.0</v>
      </c>
      <c r="V154" s="27168">
        <f>IF(HLOOKUP("Shots",A1:CV300,154,FALSE)=0,0,HLOOKUP("SOT",A1:CV300,154,FALSE)/HLOOKUP("Shots",A1:CV300,154,FALSE))</f>
      </c>
      <c r="W154" s="27169">
        <f>IF(HLOOKUP("Shots",A1:CV300,154,FALSE)=0,0,HLOOKUP("Gs",A1:CV300,154,FALSE)/HLOOKUP("Shots",A1:CV300,154,FALSE))</f>
      </c>
      <c r="X154" t="n" s="27170">
        <v>0.0</v>
      </c>
      <c r="Y154" t="n" s="27171">
        <v>0.0</v>
      </c>
      <c r="Z154" t="n" s="27172">
        <v>2.0</v>
      </c>
      <c r="AA154" s="27173">
        <f>IF(HLOOKUP("KP",A1:CV300,154,FALSE)=0,0,HLOOKUP("As",A1:CV300,154,FALSE)/HLOOKUP("KP",A1:CV300,154,FALSE))</f>
      </c>
      <c r="AB154" s="27174"/>
      <c r="AC154" t="n" s="27175">
        <v>0.0</v>
      </c>
      <c r="AD154" t="n" s="27176">
        <v>0.0</v>
      </c>
      <c r="AE154" t="n" s="27177">
        <v>0.0</v>
      </c>
      <c r="AF154" t="n" s="27178">
        <v>0.0</v>
      </c>
      <c r="AG154" s="27179">
        <f>IF(HLOOKUP("BC",A1:CV300,154,FALSE)=0,0,HLOOKUP("Gs - BC",A1:CV300,154,FALSE)/HLOOKUP("BC",A1:CV300,154,FALSE))</f>
      </c>
      <c r="AH154" s="27180">
        <f>HLOOKUP("BC",A1:CV300,154,FALSE) - HLOOKUP("BC Miss",A1:CV300,154,FALSE)</f>
      </c>
      <c r="AI154" s="27181">
        <f>IF(HLOOKUP("Gs",A1:CV300,154,FALSE)=0,0,HLOOKUP("Gs - BC",A1:CV300,154,FALSE)/HLOOKUP("Gs",A1:CV300,154,FALSE))</f>
      </c>
      <c r="AJ154" t="n" s="27182">
        <v>0.0</v>
      </c>
      <c r="AK154" t="n" s="27183">
        <v>0.0</v>
      </c>
      <c r="AL154" s="27184">
        <f>HLOOKUP("BC",A1:CV300,154,FALSE) - (HLOOKUP("PK Gs",A1:CV300,154,FALSE) + HLOOKUP("PK Miss",A1:CV300,154,FALSE))</f>
      </c>
      <c r="AM154" s="27185">
        <f>HLOOKUP("BC Miss",A1:CV300,154,FALSE) - HLOOKUP("PK Miss",A1:CV300,154,FALSE)</f>
      </c>
      <c r="AN154" s="27186">
        <f>IF(HLOOKUP("BC - Open",A1:CV300,154,FALSE)=0,0,HLOOKUP("BC - Open Miss",A1:CV300,154,FALSE)/HLOOKUP("BC - Open",A1:CV300,154,FALSE))</f>
      </c>
      <c r="AO154" t="n" s="27187">
        <v>0.0</v>
      </c>
      <c r="AP154" s="27188">
        <f>IF(HLOOKUP("Gs",A1:CV300,154,FALSE)=0,0,HLOOKUP("GIB",A1:CV300,154,FALSE)/HLOOKUP("Gs",A1:CV300,154,FALSE))</f>
      </c>
      <c r="AQ154" t="n" s="27189">
        <v>0.0</v>
      </c>
      <c r="AR154" s="27190">
        <f>IF(HLOOKUP("Gs",A1:CV300,154,FALSE)=0,0,HLOOKUP("Gs - Open",A1:CV300,154,FALSE)/HLOOKUP("Gs",A1:CV300,154,FALSE))</f>
      </c>
      <c r="AS154" t="n" s="27191">
        <v>0.26</v>
      </c>
      <c r="AT154" t="n" s="27192">
        <v>0.12</v>
      </c>
      <c r="AU154" s="27193">
        <f>IF(HLOOKUP("Mins",A1:CV300,154,FALSE)=0,0,HLOOKUP("Pts",A1:CV300,154,FALSE)/HLOOKUP("Mins",A1:CV300,154,FALSE)* 90)</f>
      </c>
      <c r="AV154" s="27194">
        <f>IF(HLOOKUP("Apps",A1:CV300,154,FALSE)=0,0,HLOOKUP("Pts",A1:CV300,154,FALSE)/HLOOKUP("Apps",A1:CV300,154,FALSE)* 1)</f>
      </c>
      <c r="AW154" s="27195">
        <f>IF(HLOOKUP("Mins",A1:CV300,154,FALSE)=0,0,HLOOKUP("Gs",A1:CV300,154,FALSE)/HLOOKUP("Mins",A1:CV300,154,FALSE)* 90)</f>
      </c>
      <c r="AX154" s="27196">
        <f>IF(HLOOKUP("Mins",A1:CV300,154,FALSE)=0,0,HLOOKUP("Bonus",A1:CV300,154,FALSE)/HLOOKUP("Mins",A1:CV300,154,FALSE)* 90)</f>
      </c>
      <c r="AY154" s="27197">
        <f>IF(HLOOKUP("Mins",A1:CV300,154,FALSE)=0,0,HLOOKUP("BPS",A1:CV300,154,FALSE)/HLOOKUP("Mins",A1:CV300,154,FALSE)* 90)</f>
      </c>
      <c r="AZ154" s="27198">
        <f>IF(HLOOKUP("Mins",A1:CV300,154,FALSE)=0,0,HLOOKUP("Base BPS",A1:CV300,154,FALSE)/HLOOKUP("Mins",A1:CV300,154,FALSE)* 90)</f>
      </c>
      <c r="BA154" s="27199">
        <f>IF(HLOOKUP("Mins",A1:CV300,154,FALSE)=0,0,HLOOKUP("PenTchs",A1:CV300,154,FALSE)/HLOOKUP("Mins",A1:CV300,154,FALSE)* 90)</f>
      </c>
      <c r="BB154" s="27200">
        <f>IF(HLOOKUP("Mins",A1:CV300,154,FALSE)=0,0,HLOOKUP("Shots",A1:CV300,154,FALSE)/HLOOKUP("Mins",A1:CV300,154,FALSE)* 90)</f>
      </c>
      <c r="BC154" s="27201">
        <f>IF(HLOOKUP("Mins",A1:CV300,154,FALSE)=0,0,HLOOKUP("SIB",A1:CV300,154,FALSE)/HLOOKUP("Mins",A1:CV300,154,FALSE)* 90)</f>
      </c>
      <c r="BD154" s="27202">
        <f>IF(HLOOKUP("Mins",A1:CV300,154,FALSE)=0,0,HLOOKUP("S6YD",A1:CV300,154,FALSE)/HLOOKUP("Mins",A1:CV300,154,FALSE)* 90)</f>
      </c>
      <c r="BE154" s="27203">
        <f>IF(HLOOKUP("Mins",A1:CV300,154,FALSE)=0,0,HLOOKUP("Headers",A1:CV300,154,FALSE)/HLOOKUP("Mins",A1:CV300,154,FALSE)* 90)</f>
      </c>
      <c r="BF154" s="27204">
        <f>IF(HLOOKUP("Mins",A1:CV300,154,FALSE)=0,0,HLOOKUP("SOT",A1:CV300,154,FALSE)/HLOOKUP("Mins",A1:CV300,154,FALSE)* 90)</f>
      </c>
      <c r="BG154" s="27205">
        <f>IF(HLOOKUP("Mins",A1:CV300,154,FALSE)=0,0,HLOOKUP("As",A1:CV300,154,FALSE)/HLOOKUP("Mins",A1:CV300,154,FALSE)* 90)</f>
      </c>
      <c r="BH154" s="27206">
        <f>IF(HLOOKUP("Mins",A1:CV300,154,FALSE)=0,0,HLOOKUP("FPL As",A1:CV300,154,FALSE)/HLOOKUP("Mins",A1:CV300,154,FALSE)* 90)</f>
      </c>
      <c r="BI154" s="27207">
        <f>IF(HLOOKUP("Mins",A1:CV300,154,FALSE)=0,0,HLOOKUP("BC Created",A1:CV300,154,FALSE)/HLOOKUP("Mins",A1:CV300,154,FALSE)* 90)</f>
      </c>
      <c r="BJ154" s="27208">
        <f>IF(HLOOKUP("Mins",A1:CV300,154,FALSE)=0,0,HLOOKUP("KP",A1:CV300,154,FALSE)/HLOOKUP("Mins",A1:CV300,154,FALSE)* 90)</f>
      </c>
      <c r="BK154" s="27209">
        <f>IF(HLOOKUP("Mins",A1:CV300,154,FALSE)=0,0,HLOOKUP("BC",A1:CV300,154,FALSE)/HLOOKUP("Mins",A1:CV300,154,FALSE)* 90)</f>
      </c>
      <c r="BL154" s="27210">
        <f>IF(HLOOKUP("Mins",A1:CV300,154,FALSE)=0,0,HLOOKUP("BC Miss",A1:CV300,154,FALSE)/HLOOKUP("Mins",A1:CV300,154,FALSE)* 90)</f>
      </c>
      <c r="BM154" s="27211">
        <f>IF(HLOOKUP("Mins",A1:CV300,154,FALSE)=0,0,HLOOKUP("Gs - BC",A1:CV300,154,FALSE)/HLOOKUP("Mins",A1:CV300,154,FALSE)* 90)</f>
      </c>
      <c r="BN154" s="27212">
        <f>IF(HLOOKUP("Mins",A1:CV300,154,FALSE)=0,0,HLOOKUP("GIB",A1:CV300,154,FALSE)/HLOOKUP("Mins",A1:CV300,154,FALSE)* 90)</f>
      </c>
      <c r="BO154" s="27213">
        <f>IF(HLOOKUP("Mins",A1:CV300,154,FALSE)=0,0,HLOOKUP("Gs - Open",A1:CV300,154,FALSE)/HLOOKUP("Mins",A1:CV300,154,FALSE)* 90)</f>
      </c>
      <c r="BP154" s="27214">
        <f>IF(HLOOKUP("Mins",A1:CV300,154,FALSE)=0,0,HLOOKUP("ICT Index",A1:CV300,154,FALSE)/HLOOKUP("Mins",A1:CV300,154,FALSE)* 90)</f>
      </c>
      <c r="BQ154" s="27215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27216">
        <f>0.0885*HLOOKUP("KP/90",A1:CV300,154,FALSE)</f>
      </c>
      <c r="BS154" s="27217">
        <f>5*HLOOKUP("xG/90",A1:CV300,154,FALSE)+3*HLOOKUP("xA/90",A1:CV300,154,FALSE)</f>
      </c>
      <c r="BT154" s="27218">
        <f>HLOOKUP("xPts/90",A1:CV300,154,FALSE)-(5*0.75*(HLOOKUP("PK Gs",A1:CV300,154,FALSE)+HLOOKUP("PK Miss",A1:CV300,154,FALSE))*90/HLOOKUP("Mins",A1:CV300,154,FALSE))</f>
      </c>
      <c r="BU154" s="27219">
        <f>IF(HLOOKUP("Mins",A1:CV300,154,FALSE)=0,0,HLOOKUP("fsXG",A1:CV300,154,FALSE)/HLOOKUP("Mins",A1:CV300,154,FALSE)* 90)</f>
      </c>
      <c r="BV154" s="27220">
        <f>IF(HLOOKUP("Mins",A1:CV300,154,FALSE)=0,0,HLOOKUP("fsXA",A1:CV300,154,FALSE)/HLOOKUP("Mins",A1:CV300,154,FALSE)* 90)</f>
      </c>
      <c r="BW154" s="27221">
        <f>5*HLOOKUP("fsXG/90",A1:CV300,154,FALSE)+3*HLOOKUP("fsXA/90",A1:CV300,154,FALSE)</f>
      </c>
      <c r="BX154" t="n" s="27222">
        <v>0.10921142995357513</v>
      </c>
      <c r="BY154" t="n" s="27223">
        <v>0.07388358563184738</v>
      </c>
      <c r="BZ154" s="27224">
        <f>5*HLOOKUP("uXG/90",A1:CV300,154,FALSE)+3*HLOOKUP("uXA/90",A1:CV300,154,FALSE)</f>
      </c>
    </row>
    <row r="155">
      <c r="A155" t="s" s="27225">
        <v>446</v>
      </c>
      <c r="B155" t="s" s="27226">
        <v>92</v>
      </c>
      <c r="C155" t="n" s="27227">
        <v>5.0</v>
      </c>
      <c r="D155" t="n" s="27228">
        <v>363.0</v>
      </c>
      <c r="E155" t="n" s="27229">
        <v>6.0</v>
      </c>
      <c r="F155" t="n" s="27230">
        <v>26.0</v>
      </c>
      <c r="G155" t="n" s="27231">
        <v>0.0</v>
      </c>
      <c r="H155" t="n" s="27232">
        <v>0.0</v>
      </c>
      <c r="I155" t="n" s="27233">
        <v>117.0</v>
      </c>
      <c r="J155" s="27234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27235">
        <v>0.0</v>
      </c>
      <c r="L155" t="n" s="27236">
        <v>2.0</v>
      </c>
      <c r="M155" t="n" s="27237">
        <v>4.0</v>
      </c>
      <c r="N155" t="n" s="27238">
        <v>3.0</v>
      </c>
      <c r="O155" t="n" s="27239">
        <v>1.0</v>
      </c>
      <c r="P155" s="27240">
        <f>IF(HLOOKUP("Shots",A1:CV300,155,FALSE)=0,0,HLOOKUP("SIB",A1:CV300,155,FALSE)/HLOOKUP("Shots",A1:CV300,155,FALSE))</f>
      </c>
      <c r="Q155" t="n" s="27241">
        <v>0.0</v>
      </c>
      <c r="R155" s="27242">
        <f>IF(HLOOKUP("Shots",A1:CV300,155,FALSE)=0,0,HLOOKUP("S6YD",A1:CV300,155,FALSE)/HLOOKUP("Shots",A1:CV300,155,FALSE))</f>
      </c>
      <c r="S155" t="n" s="27243">
        <v>0.0</v>
      </c>
      <c r="T155" s="27244">
        <f>IF(HLOOKUP("Shots",A1:CV300,155,FALSE)=0,0,HLOOKUP("Headers",A1:CV300,155,FALSE)/HLOOKUP("Shots",A1:CV300,155,FALSE))</f>
      </c>
      <c r="U155" t="n" s="27245">
        <v>0.0</v>
      </c>
      <c r="V155" s="27246">
        <f>IF(HLOOKUP("Shots",A1:CV300,155,FALSE)=0,0,HLOOKUP("SOT",A1:CV300,155,FALSE)/HLOOKUP("Shots",A1:CV300,155,FALSE))</f>
      </c>
      <c r="W155" s="27247">
        <f>IF(HLOOKUP("Shots",A1:CV300,155,FALSE)=0,0,HLOOKUP("Gs",A1:CV300,155,FALSE)/HLOOKUP("Shots",A1:CV300,155,FALSE))</f>
      </c>
      <c r="X155" t="n" s="27248">
        <v>0.0</v>
      </c>
      <c r="Y155" t="n" s="27249">
        <v>1.0</v>
      </c>
      <c r="Z155" t="n" s="27250">
        <v>0.0</v>
      </c>
      <c r="AA155" s="27251">
        <f>IF(HLOOKUP("KP",A1:CV300,155,FALSE)=0,0,HLOOKUP("As",A1:CV300,155,FALSE)/HLOOKUP("KP",A1:CV300,155,FALSE))</f>
      </c>
      <c r="AB155" s="27252"/>
      <c r="AC155" t="n" s="27253">
        <v>0.0</v>
      </c>
      <c r="AD155" t="n" s="27254">
        <v>0.0</v>
      </c>
      <c r="AE155" t="n" s="27255">
        <v>0.0</v>
      </c>
      <c r="AF155" t="n" s="27256">
        <v>0.0</v>
      </c>
      <c r="AG155" s="27257">
        <f>IF(HLOOKUP("BC",A1:CV300,155,FALSE)=0,0,HLOOKUP("Gs - BC",A1:CV300,155,FALSE)/HLOOKUP("BC",A1:CV300,155,FALSE))</f>
      </c>
      <c r="AH155" s="27258">
        <f>HLOOKUP("BC",A1:CV300,155,FALSE) - HLOOKUP("BC Miss",A1:CV300,155,FALSE)</f>
      </c>
      <c r="AI155" s="27259">
        <f>IF(HLOOKUP("Gs",A1:CV300,155,FALSE)=0,0,HLOOKUP("Gs - BC",A1:CV300,155,FALSE)/HLOOKUP("Gs",A1:CV300,155,FALSE))</f>
      </c>
      <c r="AJ155" t="n" s="27260">
        <v>0.0</v>
      </c>
      <c r="AK155" t="n" s="27261">
        <v>0.0</v>
      </c>
      <c r="AL155" s="27262">
        <f>HLOOKUP("BC",A1:CV300,155,FALSE) - (HLOOKUP("PK Gs",A1:CV300,155,FALSE) + HLOOKUP("PK Miss",A1:CV300,155,FALSE))</f>
      </c>
      <c r="AM155" s="27263">
        <f>HLOOKUP("BC Miss",A1:CV300,155,FALSE) - HLOOKUP("PK Miss",A1:CV300,155,FALSE)</f>
      </c>
      <c r="AN155" s="27264">
        <f>IF(HLOOKUP("BC - Open",A1:CV300,155,FALSE)=0,0,HLOOKUP("BC - Open Miss",A1:CV300,155,FALSE)/HLOOKUP("BC - Open",A1:CV300,155,FALSE))</f>
      </c>
      <c r="AO155" t="n" s="27265">
        <v>0.0</v>
      </c>
      <c r="AP155" s="27266">
        <f>IF(HLOOKUP("Gs",A1:CV300,155,FALSE)=0,0,HLOOKUP("GIB",A1:CV300,155,FALSE)/HLOOKUP("Gs",A1:CV300,155,FALSE))</f>
      </c>
      <c r="AQ155" t="n" s="27267">
        <v>0.0</v>
      </c>
      <c r="AR155" s="27268">
        <f>IF(HLOOKUP("Gs",A1:CV300,155,FALSE)=0,0,HLOOKUP("Gs - Open",A1:CV300,155,FALSE)/HLOOKUP("Gs",A1:CV300,155,FALSE))</f>
      </c>
      <c r="AS155" t="n" s="27269">
        <v>0.13</v>
      </c>
      <c r="AT155" t="n" s="27270">
        <v>0.43</v>
      </c>
      <c r="AU155" s="27271">
        <f>IF(HLOOKUP("Mins",A1:CV300,155,FALSE)=0,0,HLOOKUP("Pts",A1:CV300,155,FALSE)/HLOOKUP("Mins",A1:CV300,155,FALSE)* 90)</f>
      </c>
      <c r="AV155" s="27272">
        <f>IF(HLOOKUP("Apps",A1:CV300,155,FALSE)=0,0,HLOOKUP("Pts",A1:CV300,155,FALSE)/HLOOKUP("Apps",A1:CV300,155,FALSE)* 1)</f>
      </c>
      <c r="AW155" s="27273">
        <f>IF(HLOOKUP("Mins",A1:CV300,155,FALSE)=0,0,HLOOKUP("Gs",A1:CV300,155,FALSE)/HLOOKUP("Mins",A1:CV300,155,FALSE)* 90)</f>
      </c>
      <c r="AX155" s="27274">
        <f>IF(HLOOKUP("Mins",A1:CV300,155,FALSE)=0,0,HLOOKUP("Bonus",A1:CV300,155,FALSE)/HLOOKUP("Mins",A1:CV300,155,FALSE)* 90)</f>
      </c>
      <c r="AY155" s="27275">
        <f>IF(HLOOKUP("Mins",A1:CV300,155,FALSE)=0,0,HLOOKUP("BPS",A1:CV300,155,FALSE)/HLOOKUP("Mins",A1:CV300,155,FALSE)* 90)</f>
      </c>
      <c r="AZ155" s="27276">
        <f>IF(HLOOKUP("Mins",A1:CV300,155,FALSE)=0,0,HLOOKUP("Base BPS",A1:CV300,155,FALSE)/HLOOKUP("Mins",A1:CV300,155,FALSE)* 90)</f>
      </c>
      <c r="BA155" s="27277">
        <f>IF(HLOOKUP("Mins",A1:CV300,155,FALSE)=0,0,HLOOKUP("PenTchs",A1:CV300,155,FALSE)/HLOOKUP("Mins",A1:CV300,155,FALSE)* 90)</f>
      </c>
      <c r="BB155" s="27278">
        <f>IF(HLOOKUP("Mins",A1:CV300,155,FALSE)=0,0,HLOOKUP("Shots",A1:CV300,155,FALSE)/HLOOKUP("Mins",A1:CV300,155,FALSE)* 90)</f>
      </c>
      <c r="BC155" s="27279">
        <f>IF(HLOOKUP("Mins",A1:CV300,155,FALSE)=0,0,HLOOKUP("SIB",A1:CV300,155,FALSE)/HLOOKUP("Mins",A1:CV300,155,FALSE)* 90)</f>
      </c>
      <c r="BD155" s="27280">
        <f>IF(HLOOKUP("Mins",A1:CV300,155,FALSE)=0,0,HLOOKUP("S6YD",A1:CV300,155,FALSE)/HLOOKUP("Mins",A1:CV300,155,FALSE)* 90)</f>
      </c>
      <c r="BE155" s="27281">
        <f>IF(HLOOKUP("Mins",A1:CV300,155,FALSE)=0,0,HLOOKUP("Headers",A1:CV300,155,FALSE)/HLOOKUP("Mins",A1:CV300,155,FALSE)* 90)</f>
      </c>
      <c r="BF155" s="27282">
        <f>IF(HLOOKUP("Mins",A1:CV300,155,FALSE)=0,0,HLOOKUP("SOT",A1:CV300,155,FALSE)/HLOOKUP("Mins",A1:CV300,155,FALSE)* 90)</f>
      </c>
      <c r="BG155" s="27283">
        <f>IF(HLOOKUP("Mins",A1:CV300,155,FALSE)=0,0,HLOOKUP("As",A1:CV300,155,FALSE)/HLOOKUP("Mins",A1:CV300,155,FALSE)* 90)</f>
      </c>
      <c r="BH155" s="27284">
        <f>IF(HLOOKUP("Mins",A1:CV300,155,FALSE)=0,0,HLOOKUP("FPL As",A1:CV300,155,FALSE)/HLOOKUP("Mins",A1:CV300,155,FALSE)* 90)</f>
      </c>
      <c r="BI155" s="27285">
        <f>IF(HLOOKUP("Mins",A1:CV300,155,FALSE)=0,0,HLOOKUP("BC Created",A1:CV300,155,FALSE)/HLOOKUP("Mins",A1:CV300,155,FALSE)* 90)</f>
      </c>
      <c r="BJ155" s="27286">
        <f>IF(HLOOKUP("Mins",A1:CV300,155,FALSE)=0,0,HLOOKUP("KP",A1:CV300,155,FALSE)/HLOOKUP("Mins",A1:CV300,155,FALSE)* 90)</f>
      </c>
      <c r="BK155" s="27287">
        <f>IF(HLOOKUP("Mins",A1:CV300,155,FALSE)=0,0,HLOOKUP("BC",A1:CV300,155,FALSE)/HLOOKUP("Mins",A1:CV300,155,FALSE)* 90)</f>
      </c>
      <c r="BL155" s="27288">
        <f>IF(HLOOKUP("Mins",A1:CV300,155,FALSE)=0,0,HLOOKUP("BC Miss",A1:CV300,155,FALSE)/HLOOKUP("Mins",A1:CV300,155,FALSE)* 90)</f>
      </c>
      <c r="BM155" s="27289">
        <f>IF(HLOOKUP("Mins",A1:CV300,155,FALSE)=0,0,HLOOKUP("Gs - BC",A1:CV300,155,FALSE)/HLOOKUP("Mins",A1:CV300,155,FALSE)* 90)</f>
      </c>
      <c r="BN155" s="27290">
        <f>IF(HLOOKUP("Mins",A1:CV300,155,FALSE)=0,0,HLOOKUP("GIB",A1:CV300,155,FALSE)/HLOOKUP("Mins",A1:CV300,155,FALSE)* 90)</f>
      </c>
      <c r="BO155" s="27291">
        <f>IF(HLOOKUP("Mins",A1:CV300,155,FALSE)=0,0,HLOOKUP("Gs - Open",A1:CV300,155,FALSE)/HLOOKUP("Mins",A1:CV300,155,FALSE)* 90)</f>
      </c>
      <c r="BP155" s="27292">
        <f>IF(HLOOKUP("Mins",A1:CV300,155,FALSE)=0,0,HLOOKUP("ICT Index",A1:CV300,155,FALSE)/HLOOKUP("Mins",A1:CV300,155,FALSE)* 90)</f>
      </c>
      <c r="BQ155" s="27293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27294">
        <f>0.0885*HLOOKUP("KP/90",A1:CV300,155,FALSE)</f>
      </c>
      <c r="BS155" s="27295">
        <f>5*HLOOKUP("xG/90",A1:CV300,155,FALSE)+3*HLOOKUP("xA/90",A1:CV300,155,FALSE)</f>
      </c>
      <c r="BT155" s="27296">
        <f>HLOOKUP("xPts/90",A1:CV300,155,FALSE)-(5*0.75*(HLOOKUP("PK Gs",A1:CV300,155,FALSE)+HLOOKUP("PK Miss",A1:CV300,155,FALSE))*90/HLOOKUP("Mins",A1:CV300,155,FALSE))</f>
      </c>
      <c r="BU155" s="27297">
        <f>IF(HLOOKUP("Mins",A1:CV300,155,FALSE)=0,0,HLOOKUP("fsXG",A1:CV300,155,FALSE)/HLOOKUP("Mins",A1:CV300,155,FALSE)* 90)</f>
      </c>
      <c r="BV155" s="27298">
        <f>IF(HLOOKUP("Mins",A1:CV300,155,FALSE)=0,0,HLOOKUP("fsXA",A1:CV300,155,FALSE)/HLOOKUP("Mins",A1:CV300,155,FALSE)* 90)</f>
      </c>
      <c r="BW155" s="27299">
        <f>5*HLOOKUP("fsXG/90",A1:CV300,155,FALSE)+3*HLOOKUP("fsXA/90",A1:CV300,155,FALSE)</f>
      </c>
      <c r="BX155" t="n" s="27300">
        <v>0.025461966171860695</v>
      </c>
      <c r="BY155" t="n" s="27301">
        <v>0.0</v>
      </c>
      <c r="BZ155" s="27302">
        <f>5*HLOOKUP("uXG/90",A1:CV300,155,FALSE)+3*HLOOKUP("uXA/90",A1:CV300,155,FALSE)</f>
      </c>
    </row>
    <row r="156">
      <c r="A156" t="s" s="27303">
        <v>447</v>
      </c>
      <c r="B156" t="s" s="27304">
        <v>96</v>
      </c>
      <c r="C156" t="n" s="27305">
        <v>5.900000095367432</v>
      </c>
      <c r="D156" t="n" s="27306">
        <v>89.0</v>
      </c>
      <c r="E156" t="n" s="27307">
        <v>3.0</v>
      </c>
      <c r="F156" t="n" s="27308">
        <v>20.0</v>
      </c>
      <c r="G156" t="n" s="27309">
        <v>0.0</v>
      </c>
      <c r="H156" t="n" s="27310">
        <v>1.0</v>
      </c>
      <c r="I156" t="n" s="27311">
        <v>66.0</v>
      </c>
      <c r="J156" s="27312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27313">
        <v>0.0</v>
      </c>
      <c r="L156" t="n" s="27314">
        <v>3.0</v>
      </c>
      <c r="M156" t="n" s="27315">
        <v>5.0</v>
      </c>
      <c r="N156" t="n" s="27316">
        <v>2.0</v>
      </c>
      <c r="O156" t="n" s="27317">
        <v>1.0</v>
      </c>
      <c r="P156" s="27318">
        <f>IF(HLOOKUP("Shots",A1:CV300,156,FALSE)=0,0,HLOOKUP("SIB",A1:CV300,156,FALSE)/HLOOKUP("Shots",A1:CV300,156,FALSE))</f>
      </c>
      <c r="Q156" t="n" s="27319">
        <v>0.0</v>
      </c>
      <c r="R156" s="27320">
        <f>IF(HLOOKUP("Shots",A1:CV300,156,FALSE)=0,0,HLOOKUP("S6YD",A1:CV300,156,FALSE)/HLOOKUP("Shots",A1:CV300,156,FALSE))</f>
      </c>
      <c r="S156" t="n" s="27321">
        <v>1.0</v>
      </c>
      <c r="T156" s="27322">
        <f>IF(HLOOKUP("Shots",A1:CV300,156,FALSE)=0,0,HLOOKUP("Headers",A1:CV300,156,FALSE)/HLOOKUP("Shots",A1:CV300,156,FALSE))</f>
      </c>
      <c r="U156" t="n" s="27323">
        <v>0.0</v>
      </c>
      <c r="V156" s="27324">
        <f>IF(HLOOKUP("Shots",A1:CV300,156,FALSE)=0,0,HLOOKUP("SOT",A1:CV300,156,FALSE)/HLOOKUP("Shots",A1:CV300,156,FALSE))</f>
      </c>
      <c r="W156" s="27325">
        <f>IF(HLOOKUP("Shots",A1:CV300,156,FALSE)=0,0,HLOOKUP("Gs",A1:CV300,156,FALSE)/HLOOKUP("Shots",A1:CV300,156,FALSE))</f>
      </c>
      <c r="X156" t="n" s="27326">
        <v>0.0</v>
      </c>
      <c r="Y156" t="n" s="27327">
        <v>0.0</v>
      </c>
      <c r="Z156" t="n" s="27328">
        <v>3.0</v>
      </c>
      <c r="AA156" s="27329">
        <f>IF(HLOOKUP("KP",A1:CV300,156,FALSE)=0,0,HLOOKUP("As",A1:CV300,156,FALSE)/HLOOKUP("KP",A1:CV300,156,FALSE))</f>
      </c>
      <c r="AB156" s="27330"/>
      <c r="AC156" t="n" s="27331">
        <v>0.0</v>
      </c>
      <c r="AD156" t="n" s="27332">
        <v>0.0</v>
      </c>
      <c r="AE156" t="n" s="27333">
        <v>0.0</v>
      </c>
      <c r="AF156" t="n" s="27334">
        <v>0.0</v>
      </c>
      <c r="AG156" s="27335">
        <f>IF(HLOOKUP("BC",A1:CV300,156,FALSE)=0,0,HLOOKUP("Gs - BC",A1:CV300,156,FALSE)/HLOOKUP("BC",A1:CV300,156,FALSE))</f>
      </c>
      <c r="AH156" s="27336">
        <f>HLOOKUP("BC",A1:CV300,156,FALSE) - HLOOKUP("BC Miss",A1:CV300,156,FALSE)</f>
      </c>
      <c r="AI156" s="27337">
        <f>IF(HLOOKUP("Gs",A1:CV300,156,FALSE)=0,0,HLOOKUP("Gs - BC",A1:CV300,156,FALSE)/HLOOKUP("Gs",A1:CV300,156,FALSE))</f>
      </c>
      <c r="AJ156" t="n" s="27338">
        <v>0.0</v>
      </c>
      <c r="AK156" t="n" s="27339">
        <v>0.0</v>
      </c>
      <c r="AL156" s="27340">
        <f>HLOOKUP("BC",A1:CV300,156,FALSE) - (HLOOKUP("PK Gs",A1:CV300,156,FALSE) + HLOOKUP("PK Miss",A1:CV300,156,FALSE))</f>
      </c>
      <c r="AM156" s="27341">
        <f>HLOOKUP("BC Miss",A1:CV300,156,FALSE) - HLOOKUP("PK Miss",A1:CV300,156,FALSE)</f>
      </c>
      <c r="AN156" s="27342">
        <f>IF(HLOOKUP("BC - Open",A1:CV300,156,FALSE)=0,0,HLOOKUP("BC - Open Miss",A1:CV300,156,FALSE)/HLOOKUP("BC - Open",A1:CV300,156,FALSE))</f>
      </c>
      <c r="AO156" t="n" s="27343">
        <v>0.0</v>
      </c>
      <c r="AP156" s="27344">
        <f>IF(HLOOKUP("Gs",A1:CV300,156,FALSE)=0,0,HLOOKUP("GIB",A1:CV300,156,FALSE)/HLOOKUP("Gs",A1:CV300,156,FALSE))</f>
      </c>
      <c r="AQ156" t="n" s="27345">
        <v>0.0</v>
      </c>
      <c r="AR156" s="27346">
        <f>IF(HLOOKUP("Gs",A1:CV300,156,FALSE)=0,0,HLOOKUP("Gs - Open",A1:CV300,156,FALSE)/HLOOKUP("Gs",A1:CV300,156,FALSE))</f>
      </c>
      <c r="AS156" t="n" s="27347">
        <v>0.17</v>
      </c>
      <c r="AT156" t="n" s="27348">
        <v>0.55</v>
      </c>
      <c r="AU156" s="27349">
        <f>IF(HLOOKUP("Mins",A1:CV300,156,FALSE)=0,0,HLOOKUP("Pts",A1:CV300,156,FALSE)/HLOOKUP("Mins",A1:CV300,156,FALSE)* 90)</f>
      </c>
      <c r="AV156" s="27350">
        <f>IF(HLOOKUP("Apps",A1:CV300,156,FALSE)=0,0,HLOOKUP("Pts",A1:CV300,156,FALSE)/HLOOKUP("Apps",A1:CV300,156,FALSE)* 1)</f>
      </c>
      <c r="AW156" s="27351">
        <f>IF(HLOOKUP("Mins",A1:CV300,156,FALSE)=0,0,HLOOKUP("Gs",A1:CV300,156,FALSE)/HLOOKUP("Mins",A1:CV300,156,FALSE)* 90)</f>
      </c>
      <c r="AX156" s="27352">
        <f>IF(HLOOKUP("Mins",A1:CV300,156,FALSE)=0,0,HLOOKUP("Bonus",A1:CV300,156,FALSE)/HLOOKUP("Mins",A1:CV300,156,FALSE)* 90)</f>
      </c>
      <c r="AY156" s="27353">
        <f>IF(HLOOKUP("Mins",A1:CV300,156,FALSE)=0,0,HLOOKUP("BPS",A1:CV300,156,FALSE)/HLOOKUP("Mins",A1:CV300,156,FALSE)* 90)</f>
      </c>
      <c r="AZ156" s="27354">
        <f>IF(HLOOKUP("Mins",A1:CV300,156,FALSE)=0,0,HLOOKUP("Base BPS",A1:CV300,156,FALSE)/HLOOKUP("Mins",A1:CV300,156,FALSE)* 90)</f>
      </c>
      <c r="BA156" s="27355">
        <f>IF(HLOOKUP("Mins",A1:CV300,156,FALSE)=0,0,HLOOKUP("PenTchs",A1:CV300,156,FALSE)/HLOOKUP("Mins",A1:CV300,156,FALSE)* 90)</f>
      </c>
      <c r="BB156" s="27356">
        <f>IF(HLOOKUP("Mins",A1:CV300,156,FALSE)=0,0,HLOOKUP("Shots",A1:CV300,156,FALSE)/HLOOKUP("Mins",A1:CV300,156,FALSE)* 90)</f>
      </c>
      <c r="BC156" s="27357">
        <f>IF(HLOOKUP("Mins",A1:CV300,156,FALSE)=0,0,HLOOKUP("SIB",A1:CV300,156,FALSE)/HLOOKUP("Mins",A1:CV300,156,FALSE)* 90)</f>
      </c>
      <c r="BD156" s="27358">
        <f>IF(HLOOKUP("Mins",A1:CV300,156,FALSE)=0,0,HLOOKUP("S6YD",A1:CV300,156,FALSE)/HLOOKUP("Mins",A1:CV300,156,FALSE)* 90)</f>
      </c>
      <c r="BE156" s="27359">
        <f>IF(HLOOKUP("Mins",A1:CV300,156,FALSE)=0,0,HLOOKUP("Headers",A1:CV300,156,FALSE)/HLOOKUP("Mins",A1:CV300,156,FALSE)* 90)</f>
      </c>
      <c r="BF156" s="27360">
        <f>IF(HLOOKUP("Mins",A1:CV300,156,FALSE)=0,0,HLOOKUP("SOT",A1:CV300,156,FALSE)/HLOOKUP("Mins",A1:CV300,156,FALSE)* 90)</f>
      </c>
      <c r="BG156" s="27361">
        <f>IF(HLOOKUP("Mins",A1:CV300,156,FALSE)=0,0,HLOOKUP("As",A1:CV300,156,FALSE)/HLOOKUP("Mins",A1:CV300,156,FALSE)* 90)</f>
      </c>
      <c r="BH156" s="27362">
        <f>IF(HLOOKUP("Mins",A1:CV300,156,FALSE)=0,0,HLOOKUP("FPL As",A1:CV300,156,FALSE)/HLOOKUP("Mins",A1:CV300,156,FALSE)* 90)</f>
      </c>
      <c r="BI156" s="27363">
        <f>IF(HLOOKUP("Mins",A1:CV300,156,FALSE)=0,0,HLOOKUP("BC Created",A1:CV300,156,FALSE)/HLOOKUP("Mins",A1:CV300,156,FALSE)* 90)</f>
      </c>
      <c r="BJ156" s="27364">
        <f>IF(HLOOKUP("Mins",A1:CV300,156,FALSE)=0,0,HLOOKUP("KP",A1:CV300,156,FALSE)/HLOOKUP("Mins",A1:CV300,156,FALSE)* 90)</f>
      </c>
      <c r="BK156" s="27365">
        <f>IF(HLOOKUP("Mins",A1:CV300,156,FALSE)=0,0,HLOOKUP("BC",A1:CV300,156,FALSE)/HLOOKUP("Mins",A1:CV300,156,FALSE)* 90)</f>
      </c>
      <c r="BL156" s="27366">
        <f>IF(HLOOKUP("Mins",A1:CV300,156,FALSE)=0,0,HLOOKUP("BC Miss",A1:CV300,156,FALSE)/HLOOKUP("Mins",A1:CV300,156,FALSE)* 90)</f>
      </c>
      <c r="BM156" s="27367">
        <f>IF(HLOOKUP("Mins",A1:CV300,156,FALSE)=0,0,HLOOKUP("Gs - BC",A1:CV300,156,FALSE)/HLOOKUP("Mins",A1:CV300,156,FALSE)* 90)</f>
      </c>
      <c r="BN156" s="27368">
        <f>IF(HLOOKUP("Mins",A1:CV300,156,FALSE)=0,0,HLOOKUP("GIB",A1:CV300,156,FALSE)/HLOOKUP("Mins",A1:CV300,156,FALSE)* 90)</f>
      </c>
      <c r="BO156" s="27369">
        <f>IF(HLOOKUP("Mins",A1:CV300,156,FALSE)=0,0,HLOOKUP("Gs - Open",A1:CV300,156,FALSE)/HLOOKUP("Mins",A1:CV300,156,FALSE)* 90)</f>
      </c>
      <c r="BP156" s="27370">
        <f>IF(HLOOKUP("Mins",A1:CV300,156,FALSE)=0,0,HLOOKUP("ICT Index",A1:CV300,156,FALSE)/HLOOKUP("Mins",A1:CV300,156,FALSE)* 90)</f>
      </c>
      <c r="BQ156" s="27371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27372">
        <f>0.0885*HLOOKUP("KP/90",A1:CV300,156,FALSE)</f>
      </c>
      <c r="BS156" s="27373">
        <f>5*HLOOKUP("xG/90",A1:CV300,156,FALSE)+3*HLOOKUP("xA/90",A1:CV300,156,FALSE)</f>
      </c>
      <c r="BT156" s="27374">
        <f>HLOOKUP("xPts/90",A1:CV300,156,FALSE)-(5*0.75*(HLOOKUP("PK Gs",A1:CV300,156,FALSE)+HLOOKUP("PK Miss",A1:CV300,156,FALSE))*90/HLOOKUP("Mins",A1:CV300,156,FALSE))</f>
      </c>
      <c r="BU156" s="27375">
        <f>IF(HLOOKUP("Mins",A1:CV300,156,FALSE)=0,0,HLOOKUP("fsXG",A1:CV300,156,FALSE)/HLOOKUP("Mins",A1:CV300,156,FALSE)* 90)</f>
      </c>
      <c r="BV156" s="27376">
        <f>IF(HLOOKUP("Mins",A1:CV300,156,FALSE)=0,0,HLOOKUP("fsXA",A1:CV300,156,FALSE)/HLOOKUP("Mins",A1:CV300,156,FALSE)* 90)</f>
      </c>
      <c r="BW156" s="27377">
        <f>5*HLOOKUP("fsXG/90",A1:CV300,156,FALSE)+3*HLOOKUP("fsXA/90",A1:CV300,156,FALSE)</f>
      </c>
      <c r="BX156" t="n" s="27378">
        <v>0.20962949097156525</v>
      </c>
      <c r="BY156" t="n" s="27379">
        <v>0.1606011986732483</v>
      </c>
      <c r="BZ156" s="27380">
        <f>5*HLOOKUP("uXG/90",A1:CV300,156,FALSE)+3*HLOOKUP("uXA/90",A1:CV300,156,FALSE)</f>
      </c>
    </row>
    <row r="157">
      <c r="A157" t="s" s="27381">
        <v>448</v>
      </c>
      <c r="B157" t="s" s="27382">
        <v>87</v>
      </c>
      <c r="C157" t="n" s="27383">
        <v>5.199999809265137</v>
      </c>
      <c r="D157" t="n" s="27384">
        <v>213.0</v>
      </c>
      <c r="E157" t="n" s="27385">
        <v>5.0</v>
      </c>
      <c r="F157" t="n" s="27386">
        <v>50.0</v>
      </c>
      <c r="G157" t="n" s="27387">
        <v>0.0</v>
      </c>
      <c r="H157" t="n" s="27388">
        <v>2.0</v>
      </c>
      <c r="I157" t="n" s="27389">
        <v>145.0</v>
      </c>
      <c r="J157" s="27390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27391">
        <v>0.0</v>
      </c>
      <c r="L157" t="n" s="27392">
        <v>3.0</v>
      </c>
      <c r="M157" t="n" s="27393">
        <v>13.0</v>
      </c>
      <c r="N157" t="n" s="27394">
        <v>6.0</v>
      </c>
      <c r="O157" t="n" s="27395">
        <v>3.0</v>
      </c>
      <c r="P157" s="27396">
        <f>IF(HLOOKUP("Shots",A1:CV300,157,FALSE)=0,0,HLOOKUP("SIB",A1:CV300,157,FALSE)/HLOOKUP("Shots",A1:CV300,157,FALSE))</f>
      </c>
      <c r="Q157" t="n" s="27397">
        <v>0.0</v>
      </c>
      <c r="R157" s="27398">
        <f>IF(HLOOKUP("Shots",A1:CV300,157,FALSE)=0,0,HLOOKUP("S6YD",A1:CV300,157,FALSE)/HLOOKUP("Shots",A1:CV300,157,FALSE))</f>
      </c>
      <c r="S157" t="n" s="27399">
        <v>0.0</v>
      </c>
      <c r="T157" s="27400">
        <f>IF(HLOOKUP("Shots",A1:CV300,157,FALSE)=0,0,HLOOKUP("Headers",A1:CV300,157,FALSE)/HLOOKUP("Shots",A1:CV300,157,FALSE))</f>
      </c>
      <c r="U157" t="n" s="27401">
        <v>1.0</v>
      </c>
      <c r="V157" s="27402">
        <f>IF(HLOOKUP("Shots",A1:CV300,157,FALSE)=0,0,HLOOKUP("SOT",A1:CV300,157,FALSE)/HLOOKUP("Shots",A1:CV300,157,FALSE))</f>
      </c>
      <c r="W157" s="27403">
        <f>IF(HLOOKUP("Shots",A1:CV300,157,FALSE)=0,0,HLOOKUP("Gs",A1:CV300,157,FALSE)/HLOOKUP("Shots",A1:CV300,157,FALSE))</f>
      </c>
      <c r="X157" t="n" s="27404">
        <v>0.0</v>
      </c>
      <c r="Y157" t="n" s="27405">
        <v>2.0</v>
      </c>
      <c r="Z157" t="n" s="27406">
        <v>6.0</v>
      </c>
      <c r="AA157" s="27407">
        <f>IF(HLOOKUP("KP",A1:CV300,157,FALSE)=0,0,HLOOKUP("As",A1:CV300,157,FALSE)/HLOOKUP("KP",A1:CV300,157,FALSE))</f>
      </c>
      <c r="AB157" s="27408"/>
      <c r="AC157" t="n" s="27409">
        <v>20.0</v>
      </c>
      <c r="AD157" t="n" s="27410">
        <v>0.0</v>
      </c>
      <c r="AE157" t="n" s="27411">
        <v>0.0</v>
      </c>
      <c r="AF157" t="n" s="27412">
        <v>0.0</v>
      </c>
      <c r="AG157" s="27413">
        <f>IF(HLOOKUP("BC",A1:CV300,157,FALSE)=0,0,HLOOKUP("Gs - BC",A1:CV300,157,FALSE)/HLOOKUP("BC",A1:CV300,157,FALSE))</f>
      </c>
      <c r="AH157" s="27414">
        <f>HLOOKUP("BC",A1:CV300,157,FALSE) - HLOOKUP("BC Miss",A1:CV300,157,FALSE)</f>
      </c>
      <c r="AI157" s="27415">
        <f>IF(HLOOKUP("Gs",A1:CV300,157,FALSE)=0,0,HLOOKUP("Gs - BC",A1:CV300,157,FALSE)/HLOOKUP("Gs",A1:CV300,157,FALSE))</f>
      </c>
      <c r="AJ157" t="n" s="27416">
        <v>0.0</v>
      </c>
      <c r="AK157" t="n" s="27417">
        <v>0.0</v>
      </c>
      <c r="AL157" s="27418">
        <f>HLOOKUP("BC",A1:CV300,157,FALSE) - (HLOOKUP("PK Gs",A1:CV300,157,FALSE) + HLOOKUP("PK Miss",A1:CV300,157,FALSE))</f>
      </c>
      <c r="AM157" s="27419">
        <f>HLOOKUP("BC Miss",A1:CV300,157,FALSE) - HLOOKUP("PK Miss",A1:CV300,157,FALSE)</f>
      </c>
      <c r="AN157" s="27420">
        <f>IF(HLOOKUP("BC - Open",A1:CV300,157,FALSE)=0,0,HLOOKUP("BC - Open Miss",A1:CV300,157,FALSE)/HLOOKUP("BC - Open",A1:CV300,157,FALSE))</f>
      </c>
      <c r="AO157" t="n" s="27421">
        <v>0.0</v>
      </c>
      <c r="AP157" s="27422">
        <f>IF(HLOOKUP("Gs",A1:CV300,157,FALSE)=0,0,HLOOKUP("GIB",A1:CV300,157,FALSE)/HLOOKUP("Gs",A1:CV300,157,FALSE))</f>
      </c>
      <c r="AQ157" t="n" s="27423">
        <v>0.0</v>
      </c>
      <c r="AR157" s="27424">
        <f>IF(HLOOKUP("Gs",A1:CV300,157,FALSE)=0,0,HLOOKUP("Gs - Open",A1:CV300,157,FALSE)/HLOOKUP("Gs",A1:CV300,157,FALSE))</f>
      </c>
      <c r="AS157" t="n" s="27425">
        <v>0.34</v>
      </c>
      <c r="AT157" t="n" s="27426">
        <v>0.46</v>
      </c>
      <c r="AU157" s="27427">
        <f>IF(HLOOKUP("Mins",A1:CV300,157,FALSE)=0,0,HLOOKUP("Pts",A1:CV300,157,FALSE)/HLOOKUP("Mins",A1:CV300,157,FALSE)* 90)</f>
      </c>
      <c r="AV157" s="27428">
        <f>IF(HLOOKUP("Apps",A1:CV300,157,FALSE)=0,0,HLOOKUP("Pts",A1:CV300,157,FALSE)/HLOOKUP("Apps",A1:CV300,157,FALSE)* 1)</f>
      </c>
      <c r="AW157" s="27429">
        <f>IF(HLOOKUP("Mins",A1:CV300,157,FALSE)=0,0,HLOOKUP("Gs",A1:CV300,157,FALSE)/HLOOKUP("Mins",A1:CV300,157,FALSE)* 90)</f>
      </c>
      <c r="AX157" s="27430">
        <f>IF(HLOOKUP("Mins",A1:CV300,157,FALSE)=0,0,HLOOKUP("Bonus",A1:CV300,157,FALSE)/HLOOKUP("Mins",A1:CV300,157,FALSE)* 90)</f>
      </c>
      <c r="AY157" s="27431">
        <f>IF(HLOOKUP("Mins",A1:CV300,157,FALSE)=0,0,HLOOKUP("BPS",A1:CV300,157,FALSE)/HLOOKUP("Mins",A1:CV300,157,FALSE)* 90)</f>
      </c>
      <c r="AZ157" s="27432">
        <f>IF(HLOOKUP("Mins",A1:CV300,157,FALSE)=0,0,HLOOKUP("Base BPS",A1:CV300,157,FALSE)/HLOOKUP("Mins",A1:CV300,157,FALSE)* 90)</f>
      </c>
      <c r="BA157" s="27433">
        <f>IF(HLOOKUP("Mins",A1:CV300,157,FALSE)=0,0,HLOOKUP("PenTchs",A1:CV300,157,FALSE)/HLOOKUP("Mins",A1:CV300,157,FALSE)* 90)</f>
      </c>
      <c r="BB157" s="27434">
        <f>IF(HLOOKUP("Mins",A1:CV300,157,FALSE)=0,0,HLOOKUP("Shots",A1:CV300,157,FALSE)/HLOOKUP("Mins",A1:CV300,157,FALSE)* 90)</f>
      </c>
      <c r="BC157" s="27435">
        <f>IF(HLOOKUP("Mins",A1:CV300,157,FALSE)=0,0,HLOOKUP("SIB",A1:CV300,157,FALSE)/HLOOKUP("Mins",A1:CV300,157,FALSE)* 90)</f>
      </c>
      <c r="BD157" s="27436">
        <f>IF(HLOOKUP("Mins",A1:CV300,157,FALSE)=0,0,HLOOKUP("S6YD",A1:CV300,157,FALSE)/HLOOKUP("Mins",A1:CV300,157,FALSE)* 90)</f>
      </c>
      <c r="BE157" s="27437">
        <f>IF(HLOOKUP("Mins",A1:CV300,157,FALSE)=0,0,HLOOKUP("Headers",A1:CV300,157,FALSE)/HLOOKUP("Mins",A1:CV300,157,FALSE)* 90)</f>
      </c>
      <c r="BF157" s="27438">
        <f>IF(HLOOKUP("Mins",A1:CV300,157,FALSE)=0,0,HLOOKUP("SOT",A1:CV300,157,FALSE)/HLOOKUP("Mins",A1:CV300,157,FALSE)* 90)</f>
      </c>
      <c r="BG157" s="27439">
        <f>IF(HLOOKUP("Mins",A1:CV300,157,FALSE)=0,0,HLOOKUP("As",A1:CV300,157,FALSE)/HLOOKUP("Mins",A1:CV300,157,FALSE)* 90)</f>
      </c>
      <c r="BH157" s="27440">
        <f>IF(HLOOKUP("Mins",A1:CV300,157,FALSE)=0,0,HLOOKUP("FPL As",A1:CV300,157,FALSE)/HLOOKUP("Mins",A1:CV300,157,FALSE)* 90)</f>
      </c>
      <c r="BI157" s="27441">
        <f>IF(HLOOKUP("Mins",A1:CV300,157,FALSE)=0,0,HLOOKUP("BC Created",A1:CV300,157,FALSE)/HLOOKUP("Mins",A1:CV300,157,FALSE)* 90)</f>
      </c>
      <c r="BJ157" s="27442">
        <f>IF(HLOOKUP("Mins",A1:CV300,157,FALSE)=0,0,HLOOKUP("KP",A1:CV300,157,FALSE)/HLOOKUP("Mins",A1:CV300,157,FALSE)* 90)</f>
      </c>
      <c r="BK157" s="27443">
        <f>IF(HLOOKUP("Mins",A1:CV300,157,FALSE)=0,0,HLOOKUP("BC",A1:CV300,157,FALSE)/HLOOKUP("Mins",A1:CV300,157,FALSE)* 90)</f>
      </c>
      <c r="BL157" s="27444">
        <f>IF(HLOOKUP("Mins",A1:CV300,157,FALSE)=0,0,HLOOKUP("BC Miss",A1:CV300,157,FALSE)/HLOOKUP("Mins",A1:CV300,157,FALSE)* 90)</f>
      </c>
      <c r="BM157" s="27445">
        <f>IF(HLOOKUP("Mins",A1:CV300,157,FALSE)=0,0,HLOOKUP("Gs - BC",A1:CV300,157,FALSE)/HLOOKUP("Mins",A1:CV300,157,FALSE)* 90)</f>
      </c>
      <c r="BN157" s="27446">
        <f>IF(HLOOKUP("Mins",A1:CV300,157,FALSE)=0,0,HLOOKUP("GIB",A1:CV300,157,FALSE)/HLOOKUP("Mins",A1:CV300,157,FALSE)* 90)</f>
      </c>
      <c r="BO157" s="27447">
        <f>IF(HLOOKUP("Mins",A1:CV300,157,FALSE)=0,0,HLOOKUP("Gs - Open",A1:CV300,157,FALSE)/HLOOKUP("Mins",A1:CV300,157,FALSE)* 90)</f>
      </c>
      <c r="BP157" s="27448">
        <f>IF(HLOOKUP("Mins",A1:CV300,157,FALSE)=0,0,HLOOKUP("ICT Index",A1:CV300,157,FALSE)/HLOOKUP("Mins",A1:CV300,157,FALSE)* 90)</f>
      </c>
      <c r="BQ157" s="27449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27450">
        <f>0.0885*HLOOKUP("KP/90",A1:CV300,157,FALSE)</f>
      </c>
      <c r="BS157" s="27451">
        <f>5*HLOOKUP("xG/90",A1:CV300,157,FALSE)+3*HLOOKUP("xA/90",A1:CV300,157,FALSE)</f>
      </c>
      <c r="BT157" s="27452">
        <f>HLOOKUP("xPts/90",A1:CV300,157,FALSE)-(5*0.75*(HLOOKUP("PK Gs",A1:CV300,157,FALSE)+HLOOKUP("PK Miss",A1:CV300,157,FALSE))*90/HLOOKUP("Mins",A1:CV300,157,FALSE))</f>
      </c>
      <c r="BU157" s="27453">
        <f>IF(HLOOKUP("Mins",A1:CV300,157,FALSE)=0,0,HLOOKUP("fsXG",A1:CV300,157,FALSE)/HLOOKUP("Mins",A1:CV300,157,FALSE)* 90)</f>
      </c>
      <c r="BV157" s="27454">
        <f>IF(HLOOKUP("Mins",A1:CV300,157,FALSE)=0,0,HLOOKUP("fsXA",A1:CV300,157,FALSE)/HLOOKUP("Mins",A1:CV300,157,FALSE)* 90)</f>
      </c>
      <c r="BW157" s="27455">
        <f>5*HLOOKUP("fsXG/90",A1:CV300,157,FALSE)+3*HLOOKUP("fsXA/90",A1:CV300,157,FALSE)</f>
      </c>
      <c r="BX157" t="n" s="27456">
        <v>0.13536393642425537</v>
      </c>
      <c r="BY157" t="n" s="27457">
        <v>0.11790116876363754</v>
      </c>
      <c r="BZ157" s="27458">
        <f>5*HLOOKUP("uXG/90",A1:CV300,157,FALSE)+3*HLOOKUP("uXA/90",A1:CV300,157,FALSE)</f>
      </c>
    </row>
    <row r="158">
      <c r="A158" t="s" s="27459">
        <v>449</v>
      </c>
      <c r="B158" t="s" s="27460">
        <v>94</v>
      </c>
      <c r="C158" t="n" s="27461">
        <v>4.900000095367432</v>
      </c>
      <c r="D158" t="n" s="27462">
        <v>360.0</v>
      </c>
      <c r="E158" t="n" s="27463">
        <v>4.0</v>
      </c>
      <c r="F158" t="n" s="27464">
        <v>49.0</v>
      </c>
      <c r="G158" t="n" s="27465">
        <v>0.0</v>
      </c>
      <c r="H158" t="n" s="27466">
        <v>0.0</v>
      </c>
      <c r="I158" t="n" s="27467">
        <v>272.0</v>
      </c>
      <c r="J158" s="27468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27469">
        <v>0.0</v>
      </c>
      <c r="L158" t="n" s="27470">
        <v>3.0</v>
      </c>
      <c r="M158" t="n" s="27471">
        <v>4.0</v>
      </c>
      <c r="N158" t="n" s="27472">
        <v>1.0</v>
      </c>
      <c r="O158" t="n" s="27473">
        <v>1.0</v>
      </c>
      <c r="P158" s="27474">
        <f>IF(HLOOKUP("Shots",A1:CV300,158,FALSE)=0,0,HLOOKUP("SIB",A1:CV300,158,FALSE)/HLOOKUP("Shots",A1:CV300,158,FALSE))</f>
      </c>
      <c r="Q158" t="n" s="27475">
        <v>0.0</v>
      </c>
      <c r="R158" s="27476">
        <f>IF(HLOOKUP("Shots",A1:CV300,158,FALSE)=0,0,HLOOKUP("S6YD",A1:CV300,158,FALSE)/HLOOKUP("Shots",A1:CV300,158,FALSE))</f>
      </c>
      <c r="S158" t="n" s="27477">
        <v>0.0</v>
      </c>
      <c r="T158" s="27478">
        <f>IF(HLOOKUP("Shots",A1:CV300,158,FALSE)=0,0,HLOOKUP("Headers",A1:CV300,158,FALSE)/HLOOKUP("Shots",A1:CV300,158,FALSE))</f>
      </c>
      <c r="U158" t="n" s="27479">
        <v>1.0</v>
      </c>
      <c r="V158" s="27480">
        <f>IF(HLOOKUP("Shots",A1:CV300,158,FALSE)=0,0,HLOOKUP("SOT",A1:CV300,158,FALSE)/HLOOKUP("Shots",A1:CV300,158,FALSE))</f>
      </c>
      <c r="W158" s="27481">
        <f>IF(HLOOKUP("Shots",A1:CV300,158,FALSE)=0,0,HLOOKUP("Gs",A1:CV300,158,FALSE)/HLOOKUP("Shots",A1:CV300,158,FALSE))</f>
      </c>
      <c r="X158" t="n" s="27482">
        <v>0.0</v>
      </c>
      <c r="Y158" t="n" s="27483">
        <v>1.0</v>
      </c>
      <c r="Z158" t="n" s="27484">
        <v>4.0</v>
      </c>
      <c r="AA158" s="27485">
        <f>IF(HLOOKUP("KP",A1:CV300,158,FALSE)=0,0,HLOOKUP("As",A1:CV300,158,FALSE)/HLOOKUP("KP",A1:CV300,158,FALSE))</f>
      </c>
      <c r="AB158" s="27486"/>
      <c r="AC158" t="n" s="27487">
        <v>0.0</v>
      </c>
      <c r="AD158" t="n" s="27488">
        <v>0.0</v>
      </c>
      <c r="AE158" t="n" s="27489">
        <v>1.0</v>
      </c>
      <c r="AF158" t="n" s="27490">
        <v>1.0</v>
      </c>
      <c r="AG158" s="27491">
        <f>IF(HLOOKUP("BC",A1:CV300,158,FALSE)=0,0,HLOOKUP("Gs - BC",A1:CV300,158,FALSE)/HLOOKUP("BC",A1:CV300,158,FALSE))</f>
      </c>
      <c r="AH158" s="27492">
        <f>HLOOKUP("BC",A1:CV300,158,FALSE) - HLOOKUP("BC Miss",A1:CV300,158,FALSE)</f>
      </c>
      <c r="AI158" s="27493">
        <f>IF(HLOOKUP("Gs",A1:CV300,158,FALSE)=0,0,HLOOKUP("Gs - BC",A1:CV300,158,FALSE)/HLOOKUP("Gs",A1:CV300,158,FALSE))</f>
      </c>
      <c r="AJ158" t="n" s="27494">
        <v>0.0</v>
      </c>
      <c r="AK158" t="n" s="27495">
        <v>0.0</v>
      </c>
      <c r="AL158" s="27496">
        <f>HLOOKUP("BC",A1:CV300,158,FALSE) - (HLOOKUP("PK Gs",A1:CV300,158,FALSE) + HLOOKUP("PK Miss",A1:CV300,158,FALSE))</f>
      </c>
      <c r="AM158" s="27497">
        <f>HLOOKUP("BC Miss",A1:CV300,158,FALSE) - HLOOKUP("PK Miss",A1:CV300,158,FALSE)</f>
      </c>
      <c r="AN158" s="27498">
        <f>IF(HLOOKUP("BC - Open",A1:CV300,158,FALSE)=0,0,HLOOKUP("BC - Open Miss",A1:CV300,158,FALSE)/HLOOKUP("BC - Open",A1:CV300,158,FALSE))</f>
      </c>
      <c r="AO158" t="n" s="27499">
        <v>0.0</v>
      </c>
      <c r="AP158" s="27500">
        <f>IF(HLOOKUP("Gs",A1:CV300,158,FALSE)=0,0,HLOOKUP("GIB",A1:CV300,158,FALSE)/HLOOKUP("Gs",A1:CV300,158,FALSE))</f>
      </c>
      <c r="AQ158" t="n" s="27501">
        <v>0.0</v>
      </c>
      <c r="AR158" s="27502">
        <f>IF(HLOOKUP("Gs",A1:CV300,158,FALSE)=0,0,HLOOKUP("Gs - Open",A1:CV300,158,FALSE)/HLOOKUP("Gs",A1:CV300,158,FALSE))</f>
      </c>
      <c r="AS158" t="n" s="27503">
        <v>0.2</v>
      </c>
      <c r="AT158" t="n" s="27504">
        <v>0.32</v>
      </c>
      <c r="AU158" s="27505">
        <f>IF(HLOOKUP("Mins",A1:CV300,158,FALSE)=0,0,HLOOKUP("Pts",A1:CV300,158,FALSE)/HLOOKUP("Mins",A1:CV300,158,FALSE)* 90)</f>
      </c>
      <c r="AV158" s="27506">
        <f>IF(HLOOKUP("Apps",A1:CV300,158,FALSE)=0,0,HLOOKUP("Pts",A1:CV300,158,FALSE)/HLOOKUP("Apps",A1:CV300,158,FALSE)* 1)</f>
      </c>
      <c r="AW158" s="27507">
        <f>IF(HLOOKUP("Mins",A1:CV300,158,FALSE)=0,0,HLOOKUP("Gs",A1:CV300,158,FALSE)/HLOOKUP("Mins",A1:CV300,158,FALSE)* 90)</f>
      </c>
      <c r="AX158" s="27508">
        <f>IF(HLOOKUP("Mins",A1:CV300,158,FALSE)=0,0,HLOOKUP("Bonus",A1:CV300,158,FALSE)/HLOOKUP("Mins",A1:CV300,158,FALSE)* 90)</f>
      </c>
      <c r="AY158" s="27509">
        <f>IF(HLOOKUP("Mins",A1:CV300,158,FALSE)=0,0,HLOOKUP("BPS",A1:CV300,158,FALSE)/HLOOKUP("Mins",A1:CV300,158,FALSE)* 90)</f>
      </c>
      <c r="AZ158" s="27510">
        <f>IF(HLOOKUP("Mins",A1:CV300,158,FALSE)=0,0,HLOOKUP("Base BPS",A1:CV300,158,FALSE)/HLOOKUP("Mins",A1:CV300,158,FALSE)* 90)</f>
      </c>
      <c r="BA158" s="27511">
        <f>IF(HLOOKUP("Mins",A1:CV300,158,FALSE)=0,0,HLOOKUP("PenTchs",A1:CV300,158,FALSE)/HLOOKUP("Mins",A1:CV300,158,FALSE)* 90)</f>
      </c>
      <c r="BB158" s="27512">
        <f>IF(HLOOKUP("Mins",A1:CV300,158,FALSE)=0,0,HLOOKUP("Shots",A1:CV300,158,FALSE)/HLOOKUP("Mins",A1:CV300,158,FALSE)* 90)</f>
      </c>
      <c r="BC158" s="27513">
        <f>IF(HLOOKUP("Mins",A1:CV300,158,FALSE)=0,0,HLOOKUP("SIB",A1:CV300,158,FALSE)/HLOOKUP("Mins",A1:CV300,158,FALSE)* 90)</f>
      </c>
      <c r="BD158" s="27514">
        <f>IF(HLOOKUP("Mins",A1:CV300,158,FALSE)=0,0,HLOOKUP("S6YD",A1:CV300,158,FALSE)/HLOOKUP("Mins",A1:CV300,158,FALSE)* 90)</f>
      </c>
      <c r="BE158" s="27515">
        <f>IF(HLOOKUP("Mins",A1:CV300,158,FALSE)=0,0,HLOOKUP("Headers",A1:CV300,158,FALSE)/HLOOKUP("Mins",A1:CV300,158,FALSE)* 90)</f>
      </c>
      <c r="BF158" s="27516">
        <f>IF(HLOOKUP("Mins",A1:CV300,158,FALSE)=0,0,HLOOKUP("SOT",A1:CV300,158,FALSE)/HLOOKUP("Mins",A1:CV300,158,FALSE)* 90)</f>
      </c>
      <c r="BG158" s="27517">
        <f>IF(HLOOKUP("Mins",A1:CV300,158,FALSE)=0,0,HLOOKUP("As",A1:CV300,158,FALSE)/HLOOKUP("Mins",A1:CV300,158,FALSE)* 90)</f>
      </c>
      <c r="BH158" s="27518">
        <f>IF(HLOOKUP("Mins",A1:CV300,158,FALSE)=0,0,HLOOKUP("FPL As",A1:CV300,158,FALSE)/HLOOKUP("Mins",A1:CV300,158,FALSE)* 90)</f>
      </c>
      <c r="BI158" s="27519">
        <f>IF(HLOOKUP("Mins",A1:CV300,158,FALSE)=0,0,HLOOKUP("BC Created",A1:CV300,158,FALSE)/HLOOKUP("Mins",A1:CV300,158,FALSE)* 90)</f>
      </c>
      <c r="BJ158" s="27520">
        <f>IF(HLOOKUP("Mins",A1:CV300,158,FALSE)=0,0,HLOOKUP("KP",A1:CV300,158,FALSE)/HLOOKUP("Mins",A1:CV300,158,FALSE)* 90)</f>
      </c>
      <c r="BK158" s="27521">
        <f>IF(HLOOKUP("Mins",A1:CV300,158,FALSE)=0,0,HLOOKUP("BC",A1:CV300,158,FALSE)/HLOOKUP("Mins",A1:CV300,158,FALSE)* 90)</f>
      </c>
      <c r="BL158" s="27522">
        <f>IF(HLOOKUP("Mins",A1:CV300,158,FALSE)=0,0,HLOOKUP("BC Miss",A1:CV300,158,FALSE)/HLOOKUP("Mins",A1:CV300,158,FALSE)* 90)</f>
      </c>
      <c r="BM158" s="27523">
        <f>IF(HLOOKUP("Mins",A1:CV300,158,FALSE)=0,0,HLOOKUP("Gs - BC",A1:CV300,158,FALSE)/HLOOKUP("Mins",A1:CV300,158,FALSE)* 90)</f>
      </c>
      <c r="BN158" s="27524">
        <f>IF(HLOOKUP("Mins",A1:CV300,158,FALSE)=0,0,HLOOKUP("GIB",A1:CV300,158,FALSE)/HLOOKUP("Mins",A1:CV300,158,FALSE)* 90)</f>
      </c>
      <c r="BO158" s="27525">
        <f>IF(HLOOKUP("Mins",A1:CV300,158,FALSE)=0,0,HLOOKUP("Gs - Open",A1:CV300,158,FALSE)/HLOOKUP("Mins",A1:CV300,158,FALSE)* 90)</f>
      </c>
      <c r="BP158" s="27526">
        <f>IF(HLOOKUP("Mins",A1:CV300,158,FALSE)=0,0,HLOOKUP("ICT Index",A1:CV300,158,FALSE)/HLOOKUP("Mins",A1:CV300,158,FALSE)* 90)</f>
      </c>
      <c r="BQ158" s="27527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27528">
        <f>0.0885*HLOOKUP("KP/90",A1:CV300,158,FALSE)</f>
      </c>
      <c r="BS158" s="27529">
        <f>5*HLOOKUP("xG/90",A1:CV300,158,FALSE)+3*HLOOKUP("xA/90",A1:CV300,158,FALSE)</f>
      </c>
      <c r="BT158" s="27530">
        <f>HLOOKUP("xPts/90",A1:CV300,158,FALSE)-(5*0.75*(HLOOKUP("PK Gs",A1:CV300,158,FALSE)+HLOOKUP("PK Miss",A1:CV300,158,FALSE))*90/HLOOKUP("Mins",A1:CV300,158,FALSE))</f>
      </c>
      <c r="BU158" s="27531">
        <f>IF(HLOOKUP("Mins",A1:CV300,158,FALSE)=0,0,HLOOKUP("fsXG",A1:CV300,158,FALSE)/HLOOKUP("Mins",A1:CV300,158,FALSE)* 90)</f>
      </c>
      <c r="BV158" s="27532">
        <f>IF(HLOOKUP("Mins",A1:CV300,158,FALSE)=0,0,HLOOKUP("fsXA",A1:CV300,158,FALSE)/HLOOKUP("Mins",A1:CV300,158,FALSE)* 90)</f>
      </c>
      <c r="BW158" s="27533">
        <f>5*HLOOKUP("fsXG/90",A1:CV300,158,FALSE)+3*HLOOKUP("fsXA/90",A1:CV300,158,FALSE)</f>
      </c>
      <c r="BX158" t="n" s="27534">
        <v>0.09943486005067825</v>
      </c>
      <c r="BY158" t="n" s="27535">
        <v>0.07948525249958038</v>
      </c>
      <c r="BZ158" s="27536">
        <f>5*HLOOKUP("uXG/90",A1:CV300,158,FALSE)+3*HLOOKUP("uXA/90",A1:CV300,158,FALSE)</f>
      </c>
    </row>
    <row r="159">
      <c r="A159" t="s" s="27537">
        <v>450</v>
      </c>
      <c r="B159" t="s" s="27538">
        <v>147</v>
      </c>
      <c r="C159" t="n" s="27539">
        <v>5.599999904632568</v>
      </c>
      <c r="D159" t="n" s="27540">
        <v>90.0</v>
      </c>
      <c r="E159" t="n" s="27541">
        <v>1.0</v>
      </c>
      <c r="F159" t="n" s="27542">
        <v>12.0</v>
      </c>
      <c r="G159" t="n" s="27543">
        <v>0.0</v>
      </c>
      <c r="H159" t="n" s="27544">
        <v>0.0</v>
      </c>
      <c r="I159" t="n" s="27545">
        <v>54.0</v>
      </c>
      <c r="J159" s="27546">
        <f>HLOOKUP("BPS",A1:CV300,159,FALSE)-((-6*HLOOKUP("OG",A1:CV300,159,FALSE))+(-6*HLOOKUP("PK Miss",A1:CV300,159,FALSE))+(9*HLOOKUP("FPL As",A1:CV300,159,FALSE))+(0*HLOOKUP("CS",A1:CV300,159,FALSE))+(18*HLOOKUP("Gs",A1:CV300,159,FALSE)))</f>
      </c>
      <c r="K159" t="n" s="27547">
        <v>0.0</v>
      </c>
      <c r="L159" t="n" s="27548">
        <v>2.0</v>
      </c>
      <c r="M159" t="n" s="27549">
        <v>3.0</v>
      </c>
      <c r="N159" t="n" s="27550">
        <v>1.0</v>
      </c>
      <c r="O159" t="n" s="27551">
        <v>0.0</v>
      </c>
      <c r="P159" s="27552">
        <f>IF(HLOOKUP("Shots",A1:CV300,159,FALSE)=0,0,HLOOKUP("SIB",A1:CV300,159,FALSE)/HLOOKUP("Shots",A1:CV300,159,FALSE))</f>
      </c>
      <c r="Q159" t="n" s="27553">
        <v>0.0</v>
      </c>
      <c r="R159" s="27554">
        <f>IF(HLOOKUP("Shots",A1:CV300,159,FALSE)=0,0,HLOOKUP("S6YD",A1:CV300,159,FALSE)/HLOOKUP("Shots",A1:CV300,159,FALSE))</f>
      </c>
      <c r="S159" t="n" s="27555">
        <v>0.0</v>
      </c>
      <c r="T159" s="27556">
        <f>IF(HLOOKUP("Shots",A1:CV300,159,FALSE)=0,0,HLOOKUP("Headers",A1:CV300,159,FALSE)/HLOOKUP("Shots",A1:CV300,159,FALSE))</f>
      </c>
      <c r="U159" t="n" s="27557">
        <v>0.0</v>
      </c>
      <c r="V159" s="27558">
        <f>IF(HLOOKUP("Shots",A1:CV300,159,FALSE)=0,0,HLOOKUP("SOT",A1:CV300,159,FALSE)/HLOOKUP("Shots",A1:CV300,159,FALSE))</f>
      </c>
      <c r="W159" s="27559">
        <f>IF(HLOOKUP("Shots",A1:CV300,159,FALSE)=0,0,HLOOKUP("Gs",A1:CV300,159,FALSE)/HLOOKUP("Shots",A1:CV300,159,FALSE))</f>
      </c>
      <c r="X159" t="n" s="27560">
        <v>0.0</v>
      </c>
      <c r="Y159" t="n" s="27561">
        <v>0.0</v>
      </c>
      <c r="Z159" t="n" s="27562">
        <v>1.0</v>
      </c>
      <c r="AA159" s="27563">
        <f>IF(HLOOKUP("KP",A1:CV300,159,FALSE)=0,0,HLOOKUP("As",A1:CV300,159,FALSE)/HLOOKUP("KP",A1:CV300,159,FALSE))</f>
      </c>
      <c r="AB159" s="27564"/>
      <c r="AC159" t="n" s="27565">
        <v>0.0</v>
      </c>
      <c r="AD159" t="n" s="27566">
        <v>0.0</v>
      </c>
      <c r="AE159" t="n" s="27567">
        <v>0.0</v>
      </c>
      <c r="AF159" t="n" s="27568">
        <v>0.0</v>
      </c>
      <c r="AG159" s="27569">
        <f>IF(HLOOKUP("BC",A1:CV300,159,FALSE)=0,0,HLOOKUP("Gs - BC",A1:CV300,159,FALSE)/HLOOKUP("BC",A1:CV300,159,FALSE))</f>
      </c>
      <c r="AH159" s="27570">
        <f>HLOOKUP("BC",A1:CV300,159,FALSE) - HLOOKUP("BC Miss",A1:CV300,159,FALSE)</f>
      </c>
      <c r="AI159" s="27571">
        <f>IF(HLOOKUP("Gs",A1:CV300,159,FALSE)=0,0,HLOOKUP("Gs - BC",A1:CV300,159,FALSE)/HLOOKUP("Gs",A1:CV300,159,FALSE))</f>
      </c>
      <c r="AJ159" t="n" s="27572">
        <v>0.0</v>
      </c>
      <c r="AK159" t="n" s="27573">
        <v>0.0</v>
      </c>
      <c r="AL159" s="27574">
        <f>HLOOKUP("BC",A1:CV300,159,FALSE) - (HLOOKUP("PK Gs",A1:CV300,159,FALSE) + HLOOKUP("PK Miss",A1:CV300,159,FALSE))</f>
      </c>
      <c r="AM159" s="27575">
        <f>HLOOKUP("BC Miss",A1:CV300,159,FALSE) - HLOOKUP("PK Miss",A1:CV300,159,FALSE)</f>
      </c>
      <c r="AN159" s="27576">
        <f>IF(HLOOKUP("BC - Open",A1:CV300,159,FALSE)=0,0,HLOOKUP("BC - Open Miss",A1:CV300,159,FALSE)/HLOOKUP("BC - Open",A1:CV300,159,FALSE))</f>
      </c>
      <c r="AO159" t="n" s="27577">
        <v>0.0</v>
      </c>
      <c r="AP159" s="27578">
        <f>IF(HLOOKUP("Gs",A1:CV300,159,FALSE)=0,0,HLOOKUP("GIB",A1:CV300,159,FALSE)/HLOOKUP("Gs",A1:CV300,159,FALSE))</f>
      </c>
      <c r="AQ159" t="n" s="27579">
        <v>0.0</v>
      </c>
      <c r="AR159" s="27580">
        <f>IF(HLOOKUP("Gs",A1:CV300,159,FALSE)=0,0,HLOOKUP("Gs - Open",A1:CV300,159,FALSE)/HLOOKUP("Gs",A1:CV300,159,FALSE))</f>
      </c>
      <c r="AS159" t="n" s="27581">
        <v>0.04</v>
      </c>
      <c r="AT159" t="n" s="27582">
        <v>0.08</v>
      </c>
      <c r="AU159" s="27583">
        <f>IF(HLOOKUP("Mins",A1:CV300,159,FALSE)=0,0,HLOOKUP("Pts",A1:CV300,159,FALSE)/HLOOKUP("Mins",A1:CV300,159,FALSE)* 90)</f>
      </c>
      <c r="AV159" s="27584">
        <f>IF(HLOOKUP("Apps",A1:CV300,159,FALSE)=0,0,HLOOKUP("Pts",A1:CV300,159,FALSE)/HLOOKUP("Apps",A1:CV300,159,FALSE)* 1)</f>
      </c>
      <c r="AW159" s="27585">
        <f>IF(HLOOKUP("Mins",A1:CV300,159,FALSE)=0,0,HLOOKUP("Gs",A1:CV300,159,FALSE)/HLOOKUP("Mins",A1:CV300,159,FALSE)* 90)</f>
      </c>
      <c r="AX159" s="27586">
        <f>IF(HLOOKUP("Mins",A1:CV300,159,FALSE)=0,0,HLOOKUP("Bonus",A1:CV300,159,FALSE)/HLOOKUP("Mins",A1:CV300,159,FALSE)* 90)</f>
      </c>
      <c r="AY159" s="27587">
        <f>IF(HLOOKUP("Mins",A1:CV300,159,FALSE)=0,0,HLOOKUP("BPS",A1:CV300,159,FALSE)/HLOOKUP("Mins",A1:CV300,159,FALSE)* 90)</f>
      </c>
      <c r="AZ159" s="27588">
        <f>IF(HLOOKUP("Mins",A1:CV300,159,FALSE)=0,0,HLOOKUP("Base BPS",A1:CV300,159,FALSE)/HLOOKUP("Mins",A1:CV300,159,FALSE)* 90)</f>
      </c>
      <c r="BA159" s="27589">
        <f>IF(HLOOKUP("Mins",A1:CV300,159,FALSE)=0,0,HLOOKUP("PenTchs",A1:CV300,159,FALSE)/HLOOKUP("Mins",A1:CV300,159,FALSE)* 90)</f>
      </c>
      <c r="BB159" s="27590">
        <f>IF(HLOOKUP("Mins",A1:CV300,159,FALSE)=0,0,HLOOKUP("Shots",A1:CV300,159,FALSE)/HLOOKUP("Mins",A1:CV300,159,FALSE)* 90)</f>
      </c>
      <c r="BC159" s="27591">
        <f>IF(HLOOKUP("Mins",A1:CV300,159,FALSE)=0,0,HLOOKUP("SIB",A1:CV300,159,FALSE)/HLOOKUP("Mins",A1:CV300,159,FALSE)* 90)</f>
      </c>
      <c r="BD159" s="27592">
        <f>IF(HLOOKUP("Mins",A1:CV300,159,FALSE)=0,0,HLOOKUP("S6YD",A1:CV300,159,FALSE)/HLOOKUP("Mins",A1:CV300,159,FALSE)* 90)</f>
      </c>
      <c r="BE159" s="27593">
        <f>IF(HLOOKUP("Mins",A1:CV300,159,FALSE)=0,0,HLOOKUP("Headers",A1:CV300,159,FALSE)/HLOOKUP("Mins",A1:CV300,159,FALSE)* 90)</f>
      </c>
      <c r="BF159" s="27594">
        <f>IF(HLOOKUP("Mins",A1:CV300,159,FALSE)=0,0,HLOOKUP("SOT",A1:CV300,159,FALSE)/HLOOKUP("Mins",A1:CV300,159,FALSE)* 90)</f>
      </c>
      <c r="BG159" s="27595">
        <f>IF(HLOOKUP("Mins",A1:CV300,159,FALSE)=0,0,HLOOKUP("As",A1:CV300,159,FALSE)/HLOOKUP("Mins",A1:CV300,159,FALSE)* 90)</f>
      </c>
      <c r="BH159" s="27596">
        <f>IF(HLOOKUP("Mins",A1:CV300,159,FALSE)=0,0,HLOOKUP("FPL As",A1:CV300,159,FALSE)/HLOOKUP("Mins",A1:CV300,159,FALSE)* 90)</f>
      </c>
      <c r="BI159" s="27597">
        <f>IF(HLOOKUP("Mins",A1:CV300,159,FALSE)=0,0,HLOOKUP("BC Created",A1:CV300,159,FALSE)/HLOOKUP("Mins",A1:CV300,159,FALSE)* 90)</f>
      </c>
      <c r="BJ159" s="27598">
        <f>IF(HLOOKUP("Mins",A1:CV300,159,FALSE)=0,0,HLOOKUP("KP",A1:CV300,159,FALSE)/HLOOKUP("Mins",A1:CV300,159,FALSE)* 90)</f>
      </c>
      <c r="BK159" s="27599">
        <f>IF(HLOOKUP("Mins",A1:CV300,159,FALSE)=0,0,HLOOKUP("BC",A1:CV300,159,FALSE)/HLOOKUP("Mins",A1:CV300,159,FALSE)* 90)</f>
      </c>
      <c r="BL159" s="27600">
        <f>IF(HLOOKUP("Mins",A1:CV300,159,FALSE)=0,0,HLOOKUP("BC Miss",A1:CV300,159,FALSE)/HLOOKUP("Mins",A1:CV300,159,FALSE)* 90)</f>
      </c>
      <c r="BM159" s="27601">
        <f>IF(HLOOKUP("Mins",A1:CV300,159,FALSE)=0,0,HLOOKUP("Gs - BC",A1:CV300,159,FALSE)/HLOOKUP("Mins",A1:CV300,159,FALSE)* 90)</f>
      </c>
      <c r="BN159" s="27602">
        <f>IF(HLOOKUP("Mins",A1:CV300,159,FALSE)=0,0,HLOOKUP("GIB",A1:CV300,159,FALSE)/HLOOKUP("Mins",A1:CV300,159,FALSE)* 90)</f>
      </c>
      <c r="BO159" s="27603">
        <f>IF(HLOOKUP("Mins",A1:CV300,159,FALSE)=0,0,HLOOKUP("Gs - Open",A1:CV300,159,FALSE)/HLOOKUP("Mins",A1:CV300,159,FALSE)* 90)</f>
      </c>
      <c r="BP159" s="27604">
        <f>IF(HLOOKUP("Mins",A1:CV300,159,FALSE)=0,0,HLOOKUP("ICT Index",A1:CV300,159,FALSE)/HLOOKUP("Mins",A1:CV300,159,FALSE)* 90)</f>
      </c>
      <c r="BQ159" s="27605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</c>
      <c r="BR159" s="27606">
        <f>0.0885*HLOOKUP("KP/90",A1:CV300,159,FALSE)</f>
      </c>
      <c r="BS159" s="27607">
        <f>5*HLOOKUP("xG/90",A1:CV300,159,FALSE)+3*HLOOKUP("xA/90",A1:CV300,159,FALSE)</f>
      </c>
      <c r="BT159" s="27608">
        <f>HLOOKUP("xPts/90",A1:CV300,159,FALSE)-(5*0.75*(HLOOKUP("PK Gs",A1:CV300,159,FALSE)+HLOOKUP("PK Miss",A1:CV300,159,FALSE))*90/HLOOKUP("Mins",A1:CV300,159,FALSE))</f>
      </c>
      <c r="BU159" s="27609">
        <f>IF(HLOOKUP("Mins",A1:CV300,159,FALSE)=0,0,HLOOKUP("fsXG",A1:CV300,159,FALSE)/HLOOKUP("Mins",A1:CV300,159,FALSE)* 90)</f>
      </c>
      <c r="BV159" s="27610">
        <f>IF(HLOOKUP("Mins",A1:CV300,159,FALSE)=0,0,HLOOKUP("fsXA",A1:CV300,159,FALSE)/HLOOKUP("Mins",A1:CV300,159,FALSE)* 90)</f>
      </c>
      <c r="BW159" s="27611">
        <f>5*HLOOKUP("fsXG/90",A1:CV300,159,FALSE)+3*HLOOKUP("fsXA/90",A1:CV300,159,FALSE)</f>
      </c>
      <c r="BX159" t="n" s="27612">
        <v>0.04601868987083435</v>
      </c>
      <c r="BY159" t="n" s="27613">
        <v>0.1093021109700203</v>
      </c>
      <c r="BZ159" s="27614">
        <f>5*HLOOKUP("uXG/90",A1:CV300,159,FALSE)+3*HLOOKUP("uXA/90",A1:CV300,159,FALSE)</f>
      </c>
    </row>
    <row r="160">
      <c r="A160" t="s" s="27615">
        <v>451</v>
      </c>
      <c r="B160" t="s" s="27616">
        <v>80</v>
      </c>
      <c r="C160" t="n" s="27617">
        <v>9.100000381469727</v>
      </c>
      <c r="D160" t="n" s="27618">
        <v>254.0</v>
      </c>
      <c r="E160" t="n" s="27619">
        <v>5.0</v>
      </c>
      <c r="F160" t="n" s="27620">
        <v>59.0</v>
      </c>
      <c r="G160" t="n" s="27621">
        <v>1.0</v>
      </c>
      <c r="H160" t="n" s="27622">
        <v>5.0</v>
      </c>
      <c r="I160" t="n" s="27623">
        <v>203.0</v>
      </c>
      <c r="J160" s="27624">
        <f>HLOOKUP("BPS",A1:CV300,160,FALSE)-((-6*HLOOKUP("OG",A1:CV300,160,FALSE))+(-6*HLOOKUP("PK Miss",A1:CV300,160,FALSE))+(9*HLOOKUP("FPL As",A1:CV300,160,FALSE))+(0*HLOOKUP("CS",A1:CV300,160,FALSE))+(18*HLOOKUP("Gs",A1:CV300,160,FALSE)))</f>
      </c>
      <c r="K160" t="n" s="27625">
        <v>0.0</v>
      </c>
      <c r="L160" t="n" s="27626">
        <v>2.0</v>
      </c>
      <c r="M160" t="n" s="27627">
        <v>11.0</v>
      </c>
      <c r="N160" t="n" s="27628">
        <v>4.0</v>
      </c>
      <c r="O160" t="n" s="27629">
        <v>2.0</v>
      </c>
      <c r="P160" s="27630">
        <f>IF(HLOOKUP("Shots",A1:CV300,160,FALSE)=0,0,HLOOKUP("SIB",A1:CV300,160,FALSE)/HLOOKUP("Shots",A1:CV300,160,FALSE))</f>
      </c>
      <c r="Q160" t="n" s="27631">
        <v>0.0</v>
      </c>
      <c r="R160" s="27632">
        <f>IF(HLOOKUP("Shots",A1:CV300,160,FALSE)=0,0,HLOOKUP("S6YD",A1:CV300,160,FALSE)/HLOOKUP("Shots",A1:CV300,160,FALSE))</f>
      </c>
      <c r="S160" t="n" s="27633">
        <v>0.0</v>
      </c>
      <c r="T160" s="27634">
        <f>IF(HLOOKUP("Shots",A1:CV300,160,FALSE)=0,0,HLOOKUP("Headers",A1:CV300,160,FALSE)/HLOOKUP("Shots",A1:CV300,160,FALSE))</f>
      </c>
      <c r="U160" t="n" s="27635">
        <v>2.0</v>
      </c>
      <c r="V160" s="27636">
        <f>IF(HLOOKUP("Shots",A1:CV300,160,FALSE)=0,0,HLOOKUP("SOT",A1:CV300,160,FALSE)/HLOOKUP("Shots",A1:CV300,160,FALSE))</f>
      </c>
      <c r="W160" s="27637">
        <f>IF(HLOOKUP("Shots",A1:CV300,160,FALSE)=0,0,HLOOKUP("Gs",A1:CV300,160,FALSE)/HLOOKUP("Shots",A1:CV300,160,FALSE))</f>
      </c>
      <c r="X160" t="n" s="27638">
        <v>0.0</v>
      </c>
      <c r="Y160" t="n" s="27639">
        <v>3.0</v>
      </c>
      <c r="Z160" t="n" s="27640">
        <v>5.0</v>
      </c>
      <c r="AA160" s="27641">
        <f>IF(HLOOKUP("KP",A1:CV300,160,FALSE)=0,0,HLOOKUP("As",A1:CV300,160,FALSE)/HLOOKUP("KP",A1:CV300,160,FALSE))</f>
      </c>
      <c r="AB160" s="27642"/>
      <c r="AC160" t="n" s="27643">
        <v>33.0</v>
      </c>
      <c r="AD160" t="n" s="27644">
        <v>0.0</v>
      </c>
      <c r="AE160" t="n" s="27645">
        <v>1.0</v>
      </c>
      <c r="AF160" t="n" s="27646">
        <v>0.0</v>
      </c>
      <c r="AG160" s="27647">
        <f>IF(HLOOKUP("BC",A1:CV300,160,FALSE)=0,0,HLOOKUP("Gs - BC",A1:CV300,160,FALSE)/HLOOKUP("BC",A1:CV300,160,FALSE))</f>
      </c>
      <c r="AH160" s="27648">
        <f>HLOOKUP("BC",A1:CV300,160,FALSE) - HLOOKUP("BC Miss",A1:CV300,160,FALSE)</f>
      </c>
      <c r="AI160" s="27649">
        <f>IF(HLOOKUP("Gs",A1:CV300,160,FALSE)=0,0,HLOOKUP("Gs - BC",A1:CV300,160,FALSE)/HLOOKUP("Gs",A1:CV300,160,FALSE))</f>
      </c>
      <c r="AJ160" t="n" s="27650">
        <v>0.0</v>
      </c>
      <c r="AK160" t="n" s="27651">
        <v>0.0</v>
      </c>
      <c r="AL160" s="27652">
        <f>HLOOKUP("BC",A1:CV300,160,FALSE) - (HLOOKUP("PK Gs",A1:CV300,160,FALSE) + HLOOKUP("PK Miss",A1:CV300,160,FALSE))</f>
      </c>
      <c r="AM160" s="27653">
        <f>HLOOKUP("BC Miss",A1:CV300,160,FALSE) - HLOOKUP("PK Miss",A1:CV300,160,FALSE)</f>
      </c>
      <c r="AN160" s="27654">
        <f>IF(HLOOKUP("BC - Open",A1:CV300,160,FALSE)=0,0,HLOOKUP("BC - Open Miss",A1:CV300,160,FALSE)/HLOOKUP("BC - Open",A1:CV300,160,FALSE))</f>
      </c>
      <c r="AO160" t="n" s="27655">
        <v>1.0</v>
      </c>
      <c r="AP160" s="27656">
        <f>IF(HLOOKUP("Gs",A1:CV300,160,FALSE)=0,0,HLOOKUP("GIB",A1:CV300,160,FALSE)/HLOOKUP("Gs",A1:CV300,160,FALSE))</f>
      </c>
      <c r="AQ160" t="n" s="27657">
        <v>1.0</v>
      </c>
      <c r="AR160" s="27658">
        <f>IF(HLOOKUP("Gs",A1:CV300,160,FALSE)=0,0,HLOOKUP("Gs - Open",A1:CV300,160,FALSE)/HLOOKUP("Gs",A1:CV300,160,FALSE))</f>
      </c>
      <c r="AS160" t="n" s="27659">
        <v>0.53</v>
      </c>
      <c r="AT160" t="n" s="27660">
        <v>0.27</v>
      </c>
      <c r="AU160" s="27661">
        <f>IF(HLOOKUP("Mins",A1:CV300,160,FALSE)=0,0,HLOOKUP("Pts",A1:CV300,160,FALSE)/HLOOKUP("Mins",A1:CV300,160,FALSE)* 90)</f>
      </c>
      <c r="AV160" s="27662">
        <f>IF(HLOOKUP("Apps",A1:CV300,160,FALSE)=0,0,HLOOKUP("Pts",A1:CV300,160,FALSE)/HLOOKUP("Apps",A1:CV300,160,FALSE)* 1)</f>
      </c>
      <c r="AW160" s="27663">
        <f>IF(HLOOKUP("Mins",A1:CV300,160,FALSE)=0,0,HLOOKUP("Gs",A1:CV300,160,FALSE)/HLOOKUP("Mins",A1:CV300,160,FALSE)* 90)</f>
      </c>
      <c r="AX160" s="27664">
        <f>IF(HLOOKUP("Mins",A1:CV300,160,FALSE)=0,0,HLOOKUP("Bonus",A1:CV300,160,FALSE)/HLOOKUP("Mins",A1:CV300,160,FALSE)* 90)</f>
      </c>
      <c r="AY160" s="27665">
        <f>IF(HLOOKUP("Mins",A1:CV300,160,FALSE)=0,0,HLOOKUP("BPS",A1:CV300,160,FALSE)/HLOOKUP("Mins",A1:CV300,160,FALSE)* 90)</f>
      </c>
      <c r="AZ160" s="27666">
        <f>IF(HLOOKUP("Mins",A1:CV300,160,FALSE)=0,0,HLOOKUP("Base BPS",A1:CV300,160,FALSE)/HLOOKUP("Mins",A1:CV300,160,FALSE)* 90)</f>
      </c>
      <c r="BA160" s="27667">
        <f>IF(HLOOKUP("Mins",A1:CV300,160,FALSE)=0,0,HLOOKUP("PenTchs",A1:CV300,160,FALSE)/HLOOKUP("Mins",A1:CV300,160,FALSE)* 90)</f>
      </c>
      <c r="BB160" s="27668">
        <f>IF(HLOOKUP("Mins",A1:CV300,160,FALSE)=0,0,HLOOKUP("Shots",A1:CV300,160,FALSE)/HLOOKUP("Mins",A1:CV300,160,FALSE)* 90)</f>
      </c>
      <c r="BC160" s="27669">
        <f>IF(HLOOKUP("Mins",A1:CV300,160,FALSE)=0,0,HLOOKUP("SIB",A1:CV300,160,FALSE)/HLOOKUP("Mins",A1:CV300,160,FALSE)* 90)</f>
      </c>
      <c r="BD160" s="27670">
        <f>IF(HLOOKUP("Mins",A1:CV300,160,FALSE)=0,0,HLOOKUP("S6YD",A1:CV300,160,FALSE)/HLOOKUP("Mins",A1:CV300,160,FALSE)* 90)</f>
      </c>
      <c r="BE160" s="27671">
        <f>IF(HLOOKUP("Mins",A1:CV300,160,FALSE)=0,0,HLOOKUP("Headers",A1:CV300,160,FALSE)/HLOOKUP("Mins",A1:CV300,160,FALSE)* 90)</f>
      </c>
      <c r="BF160" s="27672">
        <f>IF(HLOOKUP("Mins",A1:CV300,160,FALSE)=0,0,HLOOKUP("SOT",A1:CV300,160,FALSE)/HLOOKUP("Mins",A1:CV300,160,FALSE)* 90)</f>
      </c>
      <c r="BG160" s="27673">
        <f>IF(HLOOKUP("Mins",A1:CV300,160,FALSE)=0,0,HLOOKUP("As",A1:CV300,160,FALSE)/HLOOKUP("Mins",A1:CV300,160,FALSE)* 90)</f>
      </c>
      <c r="BH160" s="27674">
        <f>IF(HLOOKUP("Mins",A1:CV300,160,FALSE)=0,0,HLOOKUP("FPL As",A1:CV300,160,FALSE)/HLOOKUP("Mins",A1:CV300,160,FALSE)* 90)</f>
      </c>
      <c r="BI160" s="27675">
        <f>IF(HLOOKUP("Mins",A1:CV300,160,FALSE)=0,0,HLOOKUP("BC Created",A1:CV300,160,FALSE)/HLOOKUP("Mins",A1:CV300,160,FALSE)* 90)</f>
      </c>
      <c r="BJ160" s="27676">
        <f>IF(HLOOKUP("Mins",A1:CV300,160,FALSE)=0,0,HLOOKUP("KP",A1:CV300,160,FALSE)/HLOOKUP("Mins",A1:CV300,160,FALSE)* 90)</f>
      </c>
      <c r="BK160" s="27677">
        <f>IF(HLOOKUP("Mins",A1:CV300,160,FALSE)=0,0,HLOOKUP("BC",A1:CV300,160,FALSE)/HLOOKUP("Mins",A1:CV300,160,FALSE)* 90)</f>
      </c>
      <c r="BL160" s="27678">
        <f>IF(HLOOKUP("Mins",A1:CV300,160,FALSE)=0,0,HLOOKUP("BC Miss",A1:CV300,160,FALSE)/HLOOKUP("Mins",A1:CV300,160,FALSE)* 90)</f>
      </c>
      <c r="BM160" s="27679">
        <f>IF(HLOOKUP("Mins",A1:CV300,160,FALSE)=0,0,HLOOKUP("Gs - BC",A1:CV300,160,FALSE)/HLOOKUP("Mins",A1:CV300,160,FALSE)* 90)</f>
      </c>
      <c r="BN160" s="27680">
        <f>IF(HLOOKUP("Mins",A1:CV300,160,FALSE)=0,0,HLOOKUP("GIB",A1:CV300,160,FALSE)/HLOOKUP("Mins",A1:CV300,160,FALSE)* 90)</f>
      </c>
      <c r="BO160" s="27681">
        <f>IF(HLOOKUP("Mins",A1:CV300,160,FALSE)=0,0,HLOOKUP("Gs - Open",A1:CV300,160,FALSE)/HLOOKUP("Mins",A1:CV300,160,FALSE)* 90)</f>
      </c>
      <c r="BP160" s="27682">
        <f>IF(HLOOKUP("Mins",A1:CV300,160,FALSE)=0,0,HLOOKUP("ICT Index",A1:CV300,160,FALSE)/HLOOKUP("Mins",A1:CV300,160,FALSE)* 90)</f>
      </c>
      <c r="BQ160" s="27683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</c>
      <c r="BR160" s="27684">
        <f>0.0885*HLOOKUP("KP/90",A1:CV300,160,FALSE)</f>
      </c>
      <c r="BS160" s="27685">
        <f>5*HLOOKUP("xG/90",A1:CV300,160,FALSE)+3*HLOOKUP("xA/90",A1:CV300,160,FALSE)</f>
      </c>
      <c r="BT160" s="27686">
        <f>HLOOKUP("xPts/90",A1:CV300,160,FALSE)-(5*0.75*(HLOOKUP("PK Gs",A1:CV300,160,FALSE)+HLOOKUP("PK Miss",A1:CV300,160,FALSE))*90/HLOOKUP("Mins",A1:CV300,160,FALSE))</f>
      </c>
      <c r="BU160" s="27687">
        <f>IF(HLOOKUP("Mins",A1:CV300,160,FALSE)=0,0,HLOOKUP("fsXG",A1:CV300,160,FALSE)/HLOOKUP("Mins",A1:CV300,160,FALSE)* 90)</f>
      </c>
      <c r="BV160" s="27688">
        <f>IF(HLOOKUP("Mins",A1:CV300,160,FALSE)=0,0,HLOOKUP("fsXA",A1:CV300,160,FALSE)/HLOOKUP("Mins",A1:CV300,160,FALSE)* 90)</f>
      </c>
      <c r="BW160" s="27689">
        <f>5*HLOOKUP("fsXG/90",A1:CV300,160,FALSE)+3*HLOOKUP("fsXA/90",A1:CV300,160,FALSE)</f>
      </c>
      <c r="BX160" t="n" s="27690">
        <v>0.1862567663192749</v>
      </c>
      <c r="BY160" t="n" s="27691">
        <v>0.17844724655151367</v>
      </c>
      <c r="BZ160" s="27692">
        <f>5*HLOOKUP("uXG/90",A1:CV300,160,FALSE)+3*HLOOKUP("uXA/90",A1:CV300,160,FALSE)</f>
      </c>
    </row>
    <row r="161">
      <c r="A161" t="s" s="27693">
        <v>452</v>
      </c>
      <c r="B161" t="s" s="27694">
        <v>94</v>
      </c>
      <c r="C161" t="n" s="27695">
        <v>8.600000381469727</v>
      </c>
      <c r="D161" t="n" s="27696">
        <v>317.0</v>
      </c>
      <c r="E161" t="n" s="27697">
        <v>6.0</v>
      </c>
      <c r="F161" t="n" s="27698">
        <v>46.0</v>
      </c>
      <c r="G161" t="n" s="27699">
        <v>1.0</v>
      </c>
      <c r="H161" t="n" s="27700">
        <v>6.0</v>
      </c>
      <c r="I161" t="n" s="27701">
        <v>192.0</v>
      </c>
      <c r="J161" s="27702">
        <f>HLOOKUP("BPS",A1:CV300,161,FALSE)-((-6*HLOOKUP("OG",A1:CV300,161,FALSE))+(-6*HLOOKUP("PK Miss",A1:CV300,161,FALSE))+(9*HLOOKUP("FPL As",A1:CV300,161,FALSE))+(0*HLOOKUP("CS",A1:CV300,161,FALSE))+(18*HLOOKUP("Gs",A1:CV300,161,FALSE)))</f>
      </c>
      <c r="K161" t="n" s="27703">
        <v>0.0</v>
      </c>
      <c r="L161" t="n" s="27704">
        <v>1.0</v>
      </c>
      <c r="M161" t="n" s="27705">
        <v>4.0</v>
      </c>
      <c r="N161" t="n" s="27706">
        <v>9.0</v>
      </c>
      <c r="O161" t="n" s="27707">
        <v>1.0</v>
      </c>
      <c r="P161" s="27708">
        <f>IF(HLOOKUP("Shots",A1:CV300,161,FALSE)=0,0,HLOOKUP("SIB",A1:CV300,161,FALSE)/HLOOKUP("Shots",A1:CV300,161,FALSE))</f>
      </c>
      <c r="Q161" t="n" s="27709">
        <v>0.0</v>
      </c>
      <c r="R161" s="27710">
        <f>IF(HLOOKUP("Shots",A1:CV300,161,FALSE)=0,0,HLOOKUP("S6YD",A1:CV300,161,FALSE)/HLOOKUP("Shots",A1:CV300,161,FALSE))</f>
      </c>
      <c r="S161" t="n" s="27711">
        <v>0.0</v>
      </c>
      <c r="T161" s="27712">
        <f>IF(HLOOKUP("Shots",A1:CV300,161,FALSE)=0,0,HLOOKUP("Headers",A1:CV300,161,FALSE)/HLOOKUP("Shots",A1:CV300,161,FALSE))</f>
      </c>
      <c r="U161" t="n" s="27713">
        <v>3.0</v>
      </c>
      <c r="V161" s="27714">
        <f>IF(HLOOKUP("Shots",A1:CV300,161,FALSE)=0,0,HLOOKUP("SOT",A1:CV300,161,FALSE)/HLOOKUP("Shots",A1:CV300,161,FALSE))</f>
      </c>
      <c r="W161" s="27715">
        <f>IF(HLOOKUP("Shots",A1:CV300,161,FALSE)=0,0,HLOOKUP("Gs",A1:CV300,161,FALSE)/HLOOKUP("Shots",A1:CV300,161,FALSE))</f>
      </c>
      <c r="X161" t="n" s="27716">
        <v>1.0</v>
      </c>
      <c r="Y161" t="n" s="27717">
        <v>2.0</v>
      </c>
      <c r="Z161" t="n" s="27718">
        <v>8.0</v>
      </c>
      <c r="AA161" s="27719">
        <f>IF(HLOOKUP("KP",A1:CV300,161,FALSE)=0,0,HLOOKUP("As",A1:CV300,161,FALSE)/HLOOKUP("KP",A1:CV300,161,FALSE))</f>
      </c>
      <c r="AB161" s="27720"/>
      <c r="AC161" t="n" s="27721">
        <v>50.0</v>
      </c>
      <c r="AD161" t="n" s="27722">
        <v>0.0</v>
      </c>
      <c r="AE161" t="n" s="27723">
        <v>0.0</v>
      </c>
      <c r="AF161" t="n" s="27724">
        <v>0.0</v>
      </c>
      <c r="AG161" s="27725">
        <f>IF(HLOOKUP("BC",A1:CV300,161,FALSE)=0,0,HLOOKUP("Gs - BC",A1:CV300,161,FALSE)/HLOOKUP("BC",A1:CV300,161,FALSE))</f>
      </c>
      <c r="AH161" s="27726">
        <f>HLOOKUP("BC",A1:CV300,161,FALSE) - HLOOKUP("BC Miss",A1:CV300,161,FALSE)</f>
      </c>
      <c r="AI161" s="27727">
        <f>IF(HLOOKUP("Gs",A1:CV300,161,FALSE)=0,0,HLOOKUP("Gs - BC",A1:CV300,161,FALSE)/HLOOKUP("Gs",A1:CV300,161,FALSE))</f>
      </c>
      <c r="AJ161" t="n" s="27728">
        <v>0.0</v>
      </c>
      <c r="AK161" t="n" s="27729">
        <v>0.0</v>
      </c>
      <c r="AL161" s="27730">
        <f>HLOOKUP("BC",A1:CV300,161,FALSE) - (HLOOKUP("PK Gs",A1:CV300,161,FALSE) + HLOOKUP("PK Miss",A1:CV300,161,FALSE))</f>
      </c>
      <c r="AM161" s="27731">
        <f>HLOOKUP("BC Miss",A1:CV300,161,FALSE) - HLOOKUP("PK Miss",A1:CV300,161,FALSE)</f>
      </c>
      <c r="AN161" s="27732">
        <f>IF(HLOOKUP("BC - Open",A1:CV300,161,FALSE)=0,0,HLOOKUP("BC - Open Miss",A1:CV300,161,FALSE)/HLOOKUP("BC - Open",A1:CV300,161,FALSE))</f>
      </c>
      <c r="AO161" t="n" s="27733">
        <v>0.0</v>
      </c>
      <c r="AP161" s="27734">
        <f>IF(HLOOKUP("Gs",A1:CV300,161,FALSE)=0,0,HLOOKUP("GIB",A1:CV300,161,FALSE)/HLOOKUP("Gs",A1:CV300,161,FALSE))</f>
      </c>
      <c r="AQ161" t="n" s="27735">
        <v>0.0</v>
      </c>
      <c r="AR161" s="27736">
        <f>IF(HLOOKUP("Gs",A1:CV300,161,FALSE)=0,0,HLOOKUP("Gs - Open",A1:CV300,161,FALSE)/HLOOKUP("Gs",A1:CV300,161,FALSE))</f>
      </c>
      <c r="AS161" t="n" s="27737">
        <v>0.48</v>
      </c>
      <c r="AT161" t="n" s="27738">
        <v>0.61</v>
      </c>
      <c r="AU161" s="27739">
        <f>IF(HLOOKUP("Mins",A1:CV300,161,FALSE)=0,0,HLOOKUP("Pts",A1:CV300,161,FALSE)/HLOOKUP("Mins",A1:CV300,161,FALSE)* 90)</f>
      </c>
      <c r="AV161" s="27740">
        <f>IF(HLOOKUP("Apps",A1:CV300,161,FALSE)=0,0,HLOOKUP("Pts",A1:CV300,161,FALSE)/HLOOKUP("Apps",A1:CV300,161,FALSE)* 1)</f>
      </c>
      <c r="AW161" s="27741">
        <f>IF(HLOOKUP("Mins",A1:CV300,161,FALSE)=0,0,HLOOKUP("Gs",A1:CV300,161,FALSE)/HLOOKUP("Mins",A1:CV300,161,FALSE)* 90)</f>
      </c>
      <c r="AX161" s="27742">
        <f>IF(HLOOKUP("Mins",A1:CV300,161,FALSE)=0,0,HLOOKUP("Bonus",A1:CV300,161,FALSE)/HLOOKUP("Mins",A1:CV300,161,FALSE)* 90)</f>
      </c>
      <c r="AY161" s="27743">
        <f>IF(HLOOKUP("Mins",A1:CV300,161,FALSE)=0,0,HLOOKUP("BPS",A1:CV300,161,FALSE)/HLOOKUP("Mins",A1:CV300,161,FALSE)* 90)</f>
      </c>
      <c r="AZ161" s="27744">
        <f>IF(HLOOKUP("Mins",A1:CV300,161,FALSE)=0,0,HLOOKUP("Base BPS",A1:CV300,161,FALSE)/HLOOKUP("Mins",A1:CV300,161,FALSE)* 90)</f>
      </c>
      <c r="BA161" s="27745">
        <f>IF(HLOOKUP("Mins",A1:CV300,161,FALSE)=0,0,HLOOKUP("PenTchs",A1:CV300,161,FALSE)/HLOOKUP("Mins",A1:CV300,161,FALSE)* 90)</f>
      </c>
      <c r="BB161" s="27746">
        <f>IF(HLOOKUP("Mins",A1:CV300,161,FALSE)=0,0,HLOOKUP("Shots",A1:CV300,161,FALSE)/HLOOKUP("Mins",A1:CV300,161,FALSE)* 90)</f>
      </c>
      <c r="BC161" s="27747">
        <f>IF(HLOOKUP("Mins",A1:CV300,161,FALSE)=0,0,HLOOKUP("SIB",A1:CV300,161,FALSE)/HLOOKUP("Mins",A1:CV300,161,FALSE)* 90)</f>
      </c>
      <c r="BD161" s="27748">
        <f>IF(HLOOKUP("Mins",A1:CV300,161,FALSE)=0,0,HLOOKUP("S6YD",A1:CV300,161,FALSE)/HLOOKUP("Mins",A1:CV300,161,FALSE)* 90)</f>
      </c>
      <c r="BE161" s="27749">
        <f>IF(HLOOKUP("Mins",A1:CV300,161,FALSE)=0,0,HLOOKUP("Headers",A1:CV300,161,FALSE)/HLOOKUP("Mins",A1:CV300,161,FALSE)* 90)</f>
      </c>
      <c r="BF161" s="27750">
        <f>IF(HLOOKUP("Mins",A1:CV300,161,FALSE)=0,0,HLOOKUP("SOT",A1:CV300,161,FALSE)/HLOOKUP("Mins",A1:CV300,161,FALSE)* 90)</f>
      </c>
      <c r="BG161" s="27751">
        <f>IF(HLOOKUP("Mins",A1:CV300,161,FALSE)=0,0,HLOOKUP("As",A1:CV300,161,FALSE)/HLOOKUP("Mins",A1:CV300,161,FALSE)* 90)</f>
      </c>
      <c r="BH161" s="27752">
        <f>IF(HLOOKUP("Mins",A1:CV300,161,FALSE)=0,0,HLOOKUP("FPL As",A1:CV300,161,FALSE)/HLOOKUP("Mins",A1:CV300,161,FALSE)* 90)</f>
      </c>
      <c r="BI161" s="27753">
        <f>IF(HLOOKUP("Mins",A1:CV300,161,FALSE)=0,0,HLOOKUP("BC Created",A1:CV300,161,FALSE)/HLOOKUP("Mins",A1:CV300,161,FALSE)* 90)</f>
      </c>
      <c r="BJ161" s="27754">
        <f>IF(HLOOKUP("Mins",A1:CV300,161,FALSE)=0,0,HLOOKUP("KP",A1:CV300,161,FALSE)/HLOOKUP("Mins",A1:CV300,161,FALSE)* 90)</f>
      </c>
      <c r="BK161" s="27755">
        <f>IF(HLOOKUP("Mins",A1:CV300,161,FALSE)=0,0,HLOOKUP("BC",A1:CV300,161,FALSE)/HLOOKUP("Mins",A1:CV300,161,FALSE)* 90)</f>
      </c>
      <c r="BL161" s="27756">
        <f>IF(HLOOKUP("Mins",A1:CV300,161,FALSE)=0,0,HLOOKUP("BC Miss",A1:CV300,161,FALSE)/HLOOKUP("Mins",A1:CV300,161,FALSE)* 90)</f>
      </c>
      <c r="BM161" s="27757">
        <f>IF(HLOOKUP("Mins",A1:CV300,161,FALSE)=0,0,HLOOKUP("Gs - BC",A1:CV300,161,FALSE)/HLOOKUP("Mins",A1:CV300,161,FALSE)* 90)</f>
      </c>
      <c r="BN161" s="27758">
        <f>IF(HLOOKUP("Mins",A1:CV300,161,FALSE)=0,0,HLOOKUP("GIB",A1:CV300,161,FALSE)/HLOOKUP("Mins",A1:CV300,161,FALSE)* 90)</f>
      </c>
      <c r="BO161" s="27759">
        <f>IF(HLOOKUP("Mins",A1:CV300,161,FALSE)=0,0,HLOOKUP("Gs - Open",A1:CV300,161,FALSE)/HLOOKUP("Mins",A1:CV300,161,FALSE)* 90)</f>
      </c>
      <c r="BP161" s="27760">
        <f>IF(HLOOKUP("Mins",A1:CV300,161,FALSE)=0,0,HLOOKUP("ICT Index",A1:CV300,161,FALSE)/HLOOKUP("Mins",A1:CV300,161,FALSE)* 90)</f>
      </c>
      <c r="BQ161" s="27761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</c>
      <c r="BR161" s="27762">
        <f>0.0885*HLOOKUP("KP/90",A1:CV300,161,FALSE)</f>
      </c>
      <c r="BS161" s="27763">
        <f>5*HLOOKUP("xG/90",A1:CV300,161,FALSE)+3*HLOOKUP("xA/90",A1:CV300,161,FALSE)</f>
      </c>
      <c r="BT161" s="27764">
        <f>HLOOKUP("xPts/90",A1:CV300,161,FALSE)-(5*0.75*(HLOOKUP("PK Gs",A1:CV300,161,FALSE)+HLOOKUP("PK Miss",A1:CV300,161,FALSE))*90/HLOOKUP("Mins",A1:CV300,161,FALSE))</f>
      </c>
      <c r="BU161" s="27765">
        <f>IF(HLOOKUP("Mins",A1:CV300,161,FALSE)=0,0,HLOOKUP("fsXG",A1:CV300,161,FALSE)/HLOOKUP("Mins",A1:CV300,161,FALSE)* 90)</f>
      </c>
      <c r="BV161" s="27766">
        <f>IF(HLOOKUP("Mins",A1:CV300,161,FALSE)=0,0,HLOOKUP("fsXA",A1:CV300,161,FALSE)/HLOOKUP("Mins",A1:CV300,161,FALSE)* 90)</f>
      </c>
      <c r="BW161" s="27767">
        <f>5*HLOOKUP("fsXG/90",A1:CV300,161,FALSE)+3*HLOOKUP("fsXA/90",A1:CV300,161,FALSE)</f>
      </c>
      <c r="BX161" t="n" s="27768">
        <v>0.12865810096263885</v>
      </c>
      <c r="BY161" t="n" s="27769">
        <v>0.14670419692993164</v>
      </c>
      <c r="BZ161" s="27770">
        <f>5*HLOOKUP("uXG/90",A1:CV300,161,FALSE)+3*HLOOKUP("uXA/90",A1:CV300,161,FALSE)</f>
      </c>
    </row>
    <row r="162">
      <c r="A162" t="s" s="27771">
        <v>453</v>
      </c>
      <c r="B162" t="s" s="27772">
        <v>117</v>
      </c>
      <c r="C162" t="n" s="27773">
        <v>5.599999904632568</v>
      </c>
      <c r="D162" t="n" s="27774">
        <v>422.0</v>
      </c>
      <c r="E162" t="n" s="27775">
        <v>5.0</v>
      </c>
      <c r="F162" t="n" s="27776">
        <v>70.0</v>
      </c>
      <c r="G162" t="n" s="27777">
        <v>2.0</v>
      </c>
      <c r="H162" t="n" s="27778">
        <v>7.0</v>
      </c>
      <c r="I162" t="n" s="27779">
        <v>313.0</v>
      </c>
      <c r="J162" s="27780">
        <f>HLOOKUP("BPS",A1:CV300,162,FALSE)-((-6*HLOOKUP("OG",A1:CV300,162,FALSE))+(-6*HLOOKUP("PK Miss",A1:CV300,162,FALSE))+(9*HLOOKUP("FPL As",A1:CV300,162,FALSE))+(0*HLOOKUP("CS",A1:CV300,162,FALSE))+(18*HLOOKUP("Gs",A1:CV300,162,FALSE)))</f>
      </c>
      <c r="K162" t="n" s="27781">
        <v>1.0</v>
      </c>
      <c r="L162" t="n" s="27782">
        <v>7.0</v>
      </c>
      <c r="M162" t="n" s="27783">
        <v>18.0</v>
      </c>
      <c r="N162" t="n" s="27784">
        <v>11.0</v>
      </c>
      <c r="O162" t="n" s="27785">
        <v>6.0</v>
      </c>
      <c r="P162" s="27786">
        <f>IF(HLOOKUP("Shots",A1:CV300,162,FALSE)=0,0,HLOOKUP("SIB",A1:CV300,162,FALSE)/HLOOKUP("Shots",A1:CV300,162,FALSE))</f>
      </c>
      <c r="Q162" t="n" s="27787">
        <v>0.0</v>
      </c>
      <c r="R162" s="27788">
        <f>IF(HLOOKUP("Shots",A1:CV300,162,FALSE)=0,0,HLOOKUP("S6YD",A1:CV300,162,FALSE)/HLOOKUP("Shots",A1:CV300,162,FALSE))</f>
      </c>
      <c r="S162" t="n" s="27789">
        <v>2.0</v>
      </c>
      <c r="T162" s="27790">
        <f>IF(HLOOKUP("Shots",A1:CV300,162,FALSE)=0,0,HLOOKUP("Headers",A1:CV300,162,FALSE)/HLOOKUP("Shots",A1:CV300,162,FALSE))</f>
      </c>
      <c r="U162" t="n" s="27791">
        <v>3.0</v>
      </c>
      <c r="V162" s="27792">
        <f>IF(HLOOKUP("Shots",A1:CV300,162,FALSE)=0,0,HLOOKUP("SOT",A1:CV300,162,FALSE)/HLOOKUP("Shots",A1:CV300,162,FALSE))</f>
      </c>
      <c r="W162" s="27793">
        <f>IF(HLOOKUP("Shots",A1:CV300,162,FALSE)=0,0,HLOOKUP("Gs",A1:CV300,162,FALSE)/HLOOKUP("Shots",A1:CV300,162,FALSE))</f>
      </c>
      <c r="X162" t="n" s="27794">
        <v>1.0</v>
      </c>
      <c r="Y162" t="n" s="27795">
        <v>2.0</v>
      </c>
      <c r="Z162" t="n" s="27796">
        <v>8.0</v>
      </c>
      <c r="AA162" s="27797">
        <f>IF(HLOOKUP("KP",A1:CV300,162,FALSE)=0,0,HLOOKUP("As",A1:CV300,162,FALSE)/HLOOKUP("KP",A1:CV300,162,FALSE))</f>
      </c>
      <c r="AB162" s="27798"/>
      <c r="AC162" t="n" s="27799">
        <v>44.0</v>
      </c>
      <c r="AD162" t="n" s="27800">
        <v>1.0</v>
      </c>
      <c r="AE162" t="n" s="27801">
        <v>1.0</v>
      </c>
      <c r="AF162" t="n" s="27802">
        <v>0.0</v>
      </c>
      <c r="AG162" s="27803">
        <f>IF(HLOOKUP("BC",A1:CV300,162,FALSE)=0,0,HLOOKUP("Gs - BC",A1:CV300,162,FALSE)/HLOOKUP("BC",A1:CV300,162,FALSE))</f>
      </c>
      <c r="AH162" s="27804">
        <f>HLOOKUP("BC",A1:CV300,162,FALSE) - HLOOKUP("BC Miss",A1:CV300,162,FALSE)</f>
      </c>
      <c r="AI162" s="27805">
        <f>IF(HLOOKUP("Gs",A1:CV300,162,FALSE)=0,0,HLOOKUP("Gs - BC",A1:CV300,162,FALSE)/HLOOKUP("Gs",A1:CV300,162,FALSE))</f>
      </c>
      <c r="AJ162" t="n" s="27806">
        <v>0.0</v>
      </c>
      <c r="AK162" t="n" s="27807">
        <v>0.0</v>
      </c>
      <c r="AL162" s="27808">
        <f>HLOOKUP("BC",A1:CV300,162,FALSE) - (HLOOKUP("PK Gs",A1:CV300,162,FALSE) + HLOOKUP("PK Miss",A1:CV300,162,FALSE))</f>
      </c>
      <c r="AM162" s="27809">
        <f>HLOOKUP("BC Miss",A1:CV300,162,FALSE) - HLOOKUP("PK Miss",A1:CV300,162,FALSE)</f>
      </c>
      <c r="AN162" s="27810">
        <f>IF(HLOOKUP("BC - Open",A1:CV300,162,FALSE)=0,0,HLOOKUP("BC - Open Miss",A1:CV300,162,FALSE)/HLOOKUP("BC - Open",A1:CV300,162,FALSE))</f>
      </c>
      <c r="AO162" t="n" s="27811">
        <v>2.0</v>
      </c>
      <c r="AP162" s="27812">
        <f>IF(HLOOKUP("Gs",A1:CV300,162,FALSE)=0,0,HLOOKUP("GIB",A1:CV300,162,FALSE)/HLOOKUP("Gs",A1:CV300,162,FALSE))</f>
      </c>
      <c r="AQ162" t="n" s="27813">
        <v>2.0</v>
      </c>
      <c r="AR162" s="27814">
        <f>IF(HLOOKUP("Gs",A1:CV300,162,FALSE)=0,0,HLOOKUP("Gs - Open",A1:CV300,162,FALSE)/HLOOKUP("Gs",A1:CV300,162,FALSE))</f>
      </c>
      <c r="AS162" t="n" s="27815">
        <v>0.89</v>
      </c>
      <c r="AT162" t="n" s="27816">
        <v>0.42</v>
      </c>
      <c r="AU162" s="27817">
        <f>IF(HLOOKUP("Mins",A1:CV300,162,FALSE)=0,0,HLOOKUP("Pts",A1:CV300,162,FALSE)/HLOOKUP("Mins",A1:CV300,162,FALSE)* 90)</f>
      </c>
      <c r="AV162" s="27818">
        <f>IF(HLOOKUP("Apps",A1:CV300,162,FALSE)=0,0,HLOOKUP("Pts",A1:CV300,162,FALSE)/HLOOKUP("Apps",A1:CV300,162,FALSE)* 1)</f>
      </c>
      <c r="AW162" s="27819">
        <f>IF(HLOOKUP("Mins",A1:CV300,162,FALSE)=0,0,HLOOKUP("Gs",A1:CV300,162,FALSE)/HLOOKUP("Mins",A1:CV300,162,FALSE)* 90)</f>
      </c>
      <c r="AX162" s="27820">
        <f>IF(HLOOKUP("Mins",A1:CV300,162,FALSE)=0,0,HLOOKUP("Bonus",A1:CV300,162,FALSE)/HLOOKUP("Mins",A1:CV300,162,FALSE)* 90)</f>
      </c>
      <c r="AY162" s="27821">
        <f>IF(HLOOKUP("Mins",A1:CV300,162,FALSE)=0,0,HLOOKUP("BPS",A1:CV300,162,FALSE)/HLOOKUP("Mins",A1:CV300,162,FALSE)* 90)</f>
      </c>
      <c r="AZ162" s="27822">
        <f>IF(HLOOKUP("Mins",A1:CV300,162,FALSE)=0,0,HLOOKUP("Base BPS",A1:CV300,162,FALSE)/HLOOKUP("Mins",A1:CV300,162,FALSE)* 90)</f>
      </c>
      <c r="BA162" s="27823">
        <f>IF(HLOOKUP("Mins",A1:CV300,162,FALSE)=0,0,HLOOKUP("PenTchs",A1:CV300,162,FALSE)/HLOOKUP("Mins",A1:CV300,162,FALSE)* 90)</f>
      </c>
      <c r="BB162" s="27824">
        <f>IF(HLOOKUP("Mins",A1:CV300,162,FALSE)=0,0,HLOOKUP("Shots",A1:CV300,162,FALSE)/HLOOKUP("Mins",A1:CV300,162,FALSE)* 90)</f>
      </c>
      <c r="BC162" s="27825">
        <f>IF(HLOOKUP("Mins",A1:CV300,162,FALSE)=0,0,HLOOKUP("SIB",A1:CV300,162,FALSE)/HLOOKUP("Mins",A1:CV300,162,FALSE)* 90)</f>
      </c>
      <c r="BD162" s="27826">
        <f>IF(HLOOKUP("Mins",A1:CV300,162,FALSE)=0,0,HLOOKUP("S6YD",A1:CV300,162,FALSE)/HLOOKUP("Mins",A1:CV300,162,FALSE)* 90)</f>
      </c>
      <c r="BE162" s="27827">
        <f>IF(HLOOKUP("Mins",A1:CV300,162,FALSE)=0,0,HLOOKUP("Headers",A1:CV300,162,FALSE)/HLOOKUP("Mins",A1:CV300,162,FALSE)* 90)</f>
      </c>
      <c r="BF162" s="27828">
        <f>IF(HLOOKUP("Mins",A1:CV300,162,FALSE)=0,0,HLOOKUP("SOT",A1:CV300,162,FALSE)/HLOOKUP("Mins",A1:CV300,162,FALSE)* 90)</f>
      </c>
      <c r="BG162" s="27829">
        <f>IF(HLOOKUP("Mins",A1:CV300,162,FALSE)=0,0,HLOOKUP("As",A1:CV300,162,FALSE)/HLOOKUP("Mins",A1:CV300,162,FALSE)* 90)</f>
      </c>
      <c r="BH162" s="27830">
        <f>IF(HLOOKUP("Mins",A1:CV300,162,FALSE)=0,0,HLOOKUP("FPL As",A1:CV300,162,FALSE)/HLOOKUP("Mins",A1:CV300,162,FALSE)* 90)</f>
      </c>
      <c r="BI162" s="27831">
        <f>IF(HLOOKUP("Mins",A1:CV300,162,FALSE)=0,0,HLOOKUP("BC Created",A1:CV300,162,FALSE)/HLOOKUP("Mins",A1:CV300,162,FALSE)* 90)</f>
      </c>
      <c r="BJ162" s="27832">
        <f>IF(HLOOKUP("Mins",A1:CV300,162,FALSE)=0,0,HLOOKUP("KP",A1:CV300,162,FALSE)/HLOOKUP("Mins",A1:CV300,162,FALSE)* 90)</f>
      </c>
      <c r="BK162" s="27833">
        <f>IF(HLOOKUP("Mins",A1:CV300,162,FALSE)=0,0,HLOOKUP("BC",A1:CV300,162,FALSE)/HLOOKUP("Mins",A1:CV300,162,FALSE)* 90)</f>
      </c>
      <c r="BL162" s="27834">
        <f>IF(HLOOKUP("Mins",A1:CV300,162,FALSE)=0,0,HLOOKUP("BC Miss",A1:CV300,162,FALSE)/HLOOKUP("Mins",A1:CV300,162,FALSE)* 90)</f>
      </c>
      <c r="BM162" s="27835">
        <f>IF(HLOOKUP("Mins",A1:CV300,162,FALSE)=0,0,HLOOKUP("Gs - BC",A1:CV300,162,FALSE)/HLOOKUP("Mins",A1:CV300,162,FALSE)* 90)</f>
      </c>
      <c r="BN162" s="27836">
        <f>IF(HLOOKUP("Mins",A1:CV300,162,FALSE)=0,0,HLOOKUP("GIB",A1:CV300,162,FALSE)/HLOOKUP("Mins",A1:CV300,162,FALSE)* 90)</f>
      </c>
      <c r="BO162" s="27837">
        <f>IF(HLOOKUP("Mins",A1:CV300,162,FALSE)=0,0,HLOOKUP("Gs - Open",A1:CV300,162,FALSE)/HLOOKUP("Mins",A1:CV300,162,FALSE)* 90)</f>
      </c>
      <c r="BP162" s="27838">
        <f>IF(HLOOKUP("Mins",A1:CV300,162,FALSE)=0,0,HLOOKUP("ICT Index",A1:CV300,162,FALSE)/HLOOKUP("Mins",A1:CV300,162,FALSE)* 90)</f>
      </c>
      <c r="BQ162" s="27839">
        <f>IF(HLOOKUP("Mins",A1:CV300,162,FALSE)=0,0,(0.036*(HLOOKUP("Shots",A1:CV300,162,FALSE)-HLOOKUP("SIB",A1:CV300,162,FALSE))+0.142*(HLOOKUP("SIB",A1:CV300,162,FALSE)-(HLOOKUP("PK Gs",A1:CV300,162,FALSE)+HLOOKUP("PK Miss",A1:CV300,162,FALSE)))+0.75*(HLOOKUP("PK Gs",A1:CV300,162,FALSE)+HLOOKUP("PK Miss",A1:CV300,162,FALSE)))/HLOOKUP("Mins",A1:CV300,162,FALSE)*90)</f>
      </c>
      <c r="BR162" s="27840">
        <f>0.0885*HLOOKUP("KP/90",A1:CV300,162,FALSE)</f>
      </c>
      <c r="BS162" s="27841">
        <f>5*HLOOKUP("xG/90",A1:CV300,162,FALSE)+3*HLOOKUP("xA/90",A1:CV300,162,FALSE)</f>
      </c>
      <c r="BT162" s="27842">
        <f>HLOOKUP("xPts/90",A1:CV300,162,FALSE)-(5*0.75*(HLOOKUP("PK Gs",A1:CV300,162,FALSE)+HLOOKUP("PK Miss",A1:CV300,162,FALSE))*90/HLOOKUP("Mins",A1:CV300,162,FALSE))</f>
      </c>
      <c r="BU162" s="27843">
        <f>IF(HLOOKUP("Mins",A1:CV300,162,FALSE)=0,0,HLOOKUP("fsXG",A1:CV300,162,FALSE)/HLOOKUP("Mins",A1:CV300,162,FALSE)* 90)</f>
      </c>
      <c r="BV162" s="27844">
        <f>IF(HLOOKUP("Mins",A1:CV300,162,FALSE)=0,0,HLOOKUP("fsXA",A1:CV300,162,FALSE)/HLOOKUP("Mins",A1:CV300,162,FALSE)* 90)</f>
      </c>
      <c r="BW162" s="27845">
        <f>5*HLOOKUP("fsXG/90",A1:CV300,162,FALSE)+3*HLOOKUP("fsXA/90",A1:CV300,162,FALSE)</f>
      </c>
      <c r="BX162" t="n" s="27846">
        <v>0.21119198203086853</v>
      </c>
      <c r="BY162" t="n" s="27847">
        <v>0.1652623414993286</v>
      </c>
      <c r="BZ162" s="27848">
        <f>5*HLOOKUP("uXG/90",A1:CV300,162,FALSE)+3*HLOOKUP("uXA/90",A1:CV300,162,FALSE)</f>
      </c>
    </row>
    <row r="163">
      <c r="A163" t="s" s="27849">
        <v>454</v>
      </c>
      <c r="B163" t="s" s="27850">
        <v>80</v>
      </c>
      <c r="C163" t="n" s="27851">
        <v>4.400000095367432</v>
      </c>
      <c r="D163" t="n" s="27852">
        <v>97.0</v>
      </c>
      <c r="E163" t="n" s="27853">
        <v>2.0</v>
      </c>
      <c r="F163" t="n" s="27854">
        <v>4.0</v>
      </c>
      <c r="G163" t="n" s="27855">
        <v>0.0</v>
      </c>
      <c r="H163" t="n" s="27856">
        <v>0.0</v>
      </c>
      <c r="I163" t="n" s="27857">
        <v>13.0</v>
      </c>
      <c r="J163" s="27858">
        <f>HLOOKUP("BPS",A1:CV300,163,FALSE)-((-6*HLOOKUP("OG",A1:CV300,163,FALSE))+(-6*HLOOKUP("PK Miss",A1:CV300,163,FALSE))+(9*HLOOKUP("FPL As",A1:CV300,163,FALSE))+(0*HLOOKUP("CS",A1:CV300,163,FALSE))+(18*HLOOKUP("Gs",A1:CV300,163,FALSE)))</f>
      </c>
      <c r="K163" t="n" s="27859">
        <v>0.0</v>
      </c>
      <c r="L163" t="n" s="27860">
        <v>1.0</v>
      </c>
      <c r="M163" t="n" s="27861">
        <v>0.0</v>
      </c>
      <c r="N163" t="n" s="27862">
        <v>0.0</v>
      </c>
      <c r="O163" t="n" s="27863">
        <v>0.0</v>
      </c>
      <c r="P163" s="27864">
        <f>IF(HLOOKUP("Shots",A1:CV300,163,FALSE)=0,0,HLOOKUP("SIB",A1:CV300,163,FALSE)/HLOOKUP("Shots",A1:CV300,163,FALSE))</f>
      </c>
      <c r="Q163" t="n" s="27865">
        <v>0.0</v>
      </c>
      <c r="R163" s="27866">
        <f>IF(HLOOKUP("Shots",A1:CV300,163,FALSE)=0,0,HLOOKUP("S6YD",A1:CV300,163,FALSE)/HLOOKUP("Shots",A1:CV300,163,FALSE))</f>
      </c>
      <c r="S163" t="n" s="27867">
        <v>0.0</v>
      </c>
      <c r="T163" s="27868">
        <f>IF(HLOOKUP("Shots",A1:CV300,163,FALSE)=0,0,HLOOKUP("Headers",A1:CV300,163,FALSE)/HLOOKUP("Shots",A1:CV300,163,FALSE))</f>
      </c>
      <c r="U163" t="n" s="27869">
        <v>0.0</v>
      </c>
      <c r="V163" s="27870">
        <f>IF(HLOOKUP("Shots",A1:CV300,163,FALSE)=0,0,HLOOKUP("SOT",A1:CV300,163,FALSE)/HLOOKUP("Shots",A1:CV300,163,FALSE))</f>
      </c>
      <c r="W163" s="27871">
        <f>IF(HLOOKUP("Shots",A1:CV300,163,FALSE)=0,0,HLOOKUP("Gs",A1:CV300,163,FALSE)/HLOOKUP("Shots",A1:CV300,163,FALSE))</f>
      </c>
      <c r="X163" t="n" s="27872">
        <v>0.0</v>
      </c>
      <c r="Y163" t="n" s="27873">
        <v>0.0</v>
      </c>
      <c r="Z163" t="n" s="27874">
        <v>0.0</v>
      </c>
      <c r="AA163" s="27875">
        <f>IF(HLOOKUP("KP",A1:CV300,163,FALSE)=0,0,HLOOKUP("As",A1:CV300,163,FALSE)/HLOOKUP("KP",A1:CV300,163,FALSE))</f>
      </c>
      <c r="AB163" s="27876"/>
      <c r="AC163" t="n" s="27877">
        <v>0.0</v>
      </c>
      <c r="AD163" t="n" s="27878">
        <v>0.0</v>
      </c>
      <c r="AE163" t="n" s="27879">
        <v>0.0</v>
      </c>
      <c r="AF163" t="n" s="27880">
        <v>0.0</v>
      </c>
      <c r="AG163" s="27881">
        <f>IF(HLOOKUP("BC",A1:CV300,163,FALSE)=0,0,HLOOKUP("Gs - BC",A1:CV300,163,FALSE)/HLOOKUP("BC",A1:CV300,163,FALSE))</f>
      </c>
      <c r="AH163" s="27882">
        <f>HLOOKUP("BC",A1:CV300,163,FALSE) - HLOOKUP("BC Miss",A1:CV300,163,FALSE)</f>
      </c>
      <c r="AI163" s="27883">
        <f>IF(HLOOKUP("Gs",A1:CV300,163,FALSE)=0,0,HLOOKUP("Gs - BC",A1:CV300,163,FALSE)/HLOOKUP("Gs",A1:CV300,163,FALSE))</f>
      </c>
      <c r="AJ163" t="n" s="27884">
        <v>0.0</v>
      </c>
      <c r="AK163" t="n" s="27885">
        <v>0.0</v>
      </c>
      <c r="AL163" s="27886">
        <f>HLOOKUP("BC",A1:CV300,163,FALSE) - (HLOOKUP("PK Gs",A1:CV300,163,FALSE) + HLOOKUP("PK Miss",A1:CV300,163,FALSE))</f>
      </c>
      <c r="AM163" s="27887">
        <f>HLOOKUP("BC Miss",A1:CV300,163,FALSE) - HLOOKUP("PK Miss",A1:CV300,163,FALSE)</f>
      </c>
      <c r="AN163" s="27888">
        <f>IF(HLOOKUP("BC - Open",A1:CV300,163,FALSE)=0,0,HLOOKUP("BC - Open Miss",A1:CV300,163,FALSE)/HLOOKUP("BC - Open",A1:CV300,163,FALSE))</f>
      </c>
      <c r="AO163" t="n" s="27889">
        <v>0.0</v>
      </c>
      <c r="AP163" s="27890">
        <f>IF(HLOOKUP("Gs",A1:CV300,163,FALSE)=0,0,HLOOKUP("GIB",A1:CV300,163,FALSE)/HLOOKUP("Gs",A1:CV300,163,FALSE))</f>
      </c>
      <c r="AQ163" t="n" s="27891">
        <v>0.0</v>
      </c>
      <c r="AR163" s="27892">
        <f>IF(HLOOKUP("Gs",A1:CV300,163,FALSE)=0,0,HLOOKUP("Gs - Open",A1:CV300,163,FALSE)/HLOOKUP("Gs",A1:CV300,163,FALSE))</f>
      </c>
      <c r="AS163" t="n" s="27893">
        <v>0.0</v>
      </c>
      <c r="AT163" t="n" s="27894">
        <v>0.01</v>
      </c>
      <c r="AU163" s="27895">
        <f>IF(HLOOKUP("Mins",A1:CV300,163,FALSE)=0,0,HLOOKUP("Pts",A1:CV300,163,FALSE)/HLOOKUP("Mins",A1:CV300,163,FALSE)* 90)</f>
      </c>
      <c r="AV163" s="27896">
        <f>IF(HLOOKUP("Apps",A1:CV300,163,FALSE)=0,0,HLOOKUP("Pts",A1:CV300,163,FALSE)/HLOOKUP("Apps",A1:CV300,163,FALSE)* 1)</f>
      </c>
      <c r="AW163" s="27897">
        <f>IF(HLOOKUP("Mins",A1:CV300,163,FALSE)=0,0,HLOOKUP("Gs",A1:CV300,163,FALSE)/HLOOKUP("Mins",A1:CV300,163,FALSE)* 90)</f>
      </c>
      <c r="AX163" s="27898">
        <f>IF(HLOOKUP("Mins",A1:CV300,163,FALSE)=0,0,HLOOKUP("Bonus",A1:CV300,163,FALSE)/HLOOKUP("Mins",A1:CV300,163,FALSE)* 90)</f>
      </c>
      <c r="AY163" s="27899">
        <f>IF(HLOOKUP("Mins",A1:CV300,163,FALSE)=0,0,HLOOKUP("BPS",A1:CV300,163,FALSE)/HLOOKUP("Mins",A1:CV300,163,FALSE)* 90)</f>
      </c>
      <c r="AZ163" s="27900">
        <f>IF(HLOOKUP("Mins",A1:CV300,163,FALSE)=0,0,HLOOKUP("Base BPS",A1:CV300,163,FALSE)/HLOOKUP("Mins",A1:CV300,163,FALSE)* 90)</f>
      </c>
      <c r="BA163" s="27901">
        <f>IF(HLOOKUP("Mins",A1:CV300,163,FALSE)=0,0,HLOOKUP("PenTchs",A1:CV300,163,FALSE)/HLOOKUP("Mins",A1:CV300,163,FALSE)* 90)</f>
      </c>
      <c r="BB163" s="27902">
        <f>IF(HLOOKUP("Mins",A1:CV300,163,FALSE)=0,0,HLOOKUP("Shots",A1:CV300,163,FALSE)/HLOOKUP("Mins",A1:CV300,163,FALSE)* 90)</f>
      </c>
      <c r="BC163" s="27903">
        <f>IF(HLOOKUP("Mins",A1:CV300,163,FALSE)=0,0,HLOOKUP("SIB",A1:CV300,163,FALSE)/HLOOKUP("Mins",A1:CV300,163,FALSE)* 90)</f>
      </c>
      <c r="BD163" s="27904">
        <f>IF(HLOOKUP("Mins",A1:CV300,163,FALSE)=0,0,HLOOKUP("S6YD",A1:CV300,163,FALSE)/HLOOKUP("Mins",A1:CV300,163,FALSE)* 90)</f>
      </c>
      <c r="BE163" s="27905">
        <f>IF(HLOOKUP("Mins",A1:CV300,163,FALSE)=0,0,HLOOKUP("Headers",A1:CV300,163,FALSE)/HLOOKUP("Mins",A1:CV300,163,FALSE)* 90)</f>
      </c>
      <c r="BF163" s="27906">
        <f>IF(HLOOKUP("Mins",A1:CV300,163,FALSE)=0,0,HLOOKUP("SOT",A1:CV300,163,FALSE)/HLOOKUP("Mins",A1:CV300,163,FALSE)* 90)</f>
      </c>
      <c r="BG163" s="27907">
        <f>IF(HLOOKUP("Mins",A1:CV300,163,FALSE)=0,0,HLOOKUP("As",A1:CV300,163,FALSE)/HLOOKUP("Mins",A1:CV300,163,FALSE)* 90)</f>
      </c>
      <c r="BH163" s="27908">
        <f>IF(HLOOKUP("Mins",A1:CV300,163,FALSE)=0,0,HLOOKUP("FPL As",A1:CV300,163,FALSE)/HLOOKUP("Mins",A1:CV300,163,FALSE)* 90)</f>
      </c>
      <c r="BI163" s="27909">
        <f>IF(HLOOKUP("Mins",A1:CV300,163,FALSE)=0,0,HLOOKUP("BC Created",A1:CV300,163,FALSE)/HLOOKUP("Mins",A1:CV300,163,FALSE)* 90)</f>
      </c>
      <c r="BJ163" s="27910">
        <f>IF(HLOOKUP("Mins",A1:CV300,163,FALSE)=0,0,HLOOKUP("KP",A1:CV300,163,FALSE)/HLOOKUP("Mins",A1:CV300,163,FALSE)* 90)</f>
      </c>
      <c r="BK163" s="27911">
        <f>IF(HLOOKUP("Mins",A1:CV300,163,FALSE)=0,0,HLOOKUP("BC",A1:CV300,163,FALSE)/HLOOKUP("Mins",A1:CV300,163,FALSE)* 90)</f>
      </c>
      <c r="BL163" s="27912">
        <f>IF(HLOOKUP("Mins",A1:CV300,163,FALSE)=0,0,HLOOKUP("BC Miss",A1:CV300,163,FALSE)/HLOOKUP("Mins",A1:CV300,163,FALSE)* 90)</f>
      </c>
      <c r="BM163" s="27913">
        <f>IF(HLOOKUP("Mins",A1:CV300,163,FALSE)=0,0,HLOOKUP("Gs - BC",A1:CV300,163,FALSE)/HLOOKUP("Mins",A1:CV300,163,FALSE)* 90)</f>
      </c>
      <c r="BN163" s="27914">
        <f>IF(HLOOKUP("Mins",A1:CV300,163,FALSE)=0,0,HLOOKUP("GIB",A1:CV300,163,FALSE)/HLOOKUP("Mins",A1:CV300,163,FALSE)* 90)</f>
      </c>
      <c r="BO163" s="27915">
        <f>IF(HLOOKUP("Mins",A1:CV300,163,FALSE)=0,0,HLOOKUP("Gs - Open",A1:CV300,163,FALSE)/HLOOKUP("Mins",A1:CV300,163,FALSE)* 90)</f>
      </c>
      <c r="BP163" s="27916">
        <f>IF(HLOOKUP("Mins",A1:CV300,163,FALSE)=0,0,HLOOKUP("ICT Index",A1:CV300,163,FALSE)/HLOOKUP("Mins",A1:CV300,163,FALSE)* 90)</f>
      </c>
      <c r="BQ163" s="27917">
        <f>IF(HLOOKUP("Mins",A1:CV300,163,FALSE)=0,0,(0.036*(HLOOKUP("Shots",A1:CV300,163,FALSE)-HLOOKUP("SIB",A1:CV300,163,FALSE))+0.142*(HLOOKUP("SIB",A1:CV300,163,FALSE)-(HLOOKUP("PK Gs",A1:CV300,163,FALSE)+HLOOKUP("PK Miss",A1:CV300,163,FALSE)))+0.75*(HLOOKUP("PK Gs",A1:CV300,163,FALSE)+HLOOKUP("PK Miss",A1:CV300,163,FALSE)))/HLOOKUP("Mins",A1:CV300,163,FALSE)*90)</f>
      </c>
      <c r="BR163" s="27918">
        <f>0.0885*HLOOKUP("KP/90",A1:CV300,163,FALSE)</f>
      </c>
      <c r="BS163" s="27919">
        <f>5*HLOOKUP("xG/90",A1:CV300,163,FALSE)+3*HLOOKUP("xA/90",A1:CV300,163,FALSE)</f>
      </c>
      <c r="BT163" s="27920">
        <f>HLOOKUP("xPts/90",A1:CV300,163,FALSE)-(5*0.75*(HLOOKUP("PK Gs",A1:CV300,163,FALSE)+HLOOKUP("PK Miss",A1:CV300,163,FALSE))*90/HLOOKUP("Mins",A1:CV300,163,FALSE))</f>
      </c>
      <c r="BU163" s="27921">
        <f>IF(HLOOKUP("Mins",A1:CV300,163,FALSE)=0,0,HLOOKUP("fsXG",A1:CV300,163,FALSE)/HLOOKUP("Mins",A1:CV300,163,FALSE)* 90)</f>
      </c>
      <c r="BV163" s="27922">
        <f>IF(HLOOKUP("Mins",A1:CV300,163,FALSE)=0,0,HLOOKUP("fsXA",A1:CV300,163,FALSE)/HLOOKUP("Mins",A1:CV300,163,FALSE)* 90)</f>
      </c>
      <c r="BW163" s="27923">
        <f>5*HLOOKUP("fsXG/90",A1:CV300,163,FALSE)+3*HLOOKUP("fsXA/90",A1:CV300,163,FALSE)</f>
      </c>
      <c r="BX163" t="n" s="27924">
        <v>0.0</v>
      </c>
      <c r="BY163" t="n" s="27925">
        <v>0.0</v>
      </c>
      <c r="BZ163" s="27926">
        <f>5*HLOOKUP("uXG/90",A1:CV300,163,FALSE)+3*HLOOKUP("uXA/90",A1:CV300,163,FALSE)</f>
      </c>
    </row>
    <row r="164">
      <c r="A164" t="s" s="27927">
        <v>455</v>
      </c>
      <c r="B164" t="s" s="27928">
        <v>127</v>
      </c>
      <c r="C164" t="n" s="27929">
        <v>5.800000190734863</v>
      </c>
      <c r="D164" t="n" s="27930">
        <v>106.0</v>
      </c>
      <c r="E164" t="n" s="27931">
        <v>4.0</v>
      </c>
      <c r="F164" t="n" s="27932">
        <v>23.0</v>
      </c>
      <c r="G164" t="n" s="27933">
        <v>0.0</v>
      </c>
      <c r="H164" t="n" s="27934">
        <v>1.0</v>
      </c>
      <c r="I164" t="n" s="27935">
        <v>79.0</v>
      </c>
      <c r="J164" s="27936">
        <f>HLOOKUP("BPS",A1:CV300,164,FALSE)-((-6*HLOOKUP("OG",A1:CV300,164,FALSE))+(-6*HLOOKUP("PK Miss",A1:CV300,164,FALSE))+(9*HLOOKUP("FPL As",A1:CV300,164,FALSE))+(0*HLOOKUP("CS",A1:CV300,164,FALSE))+(18*HLOOKUP("Gs",A1:CV300,164,FALSE)))</f>
      </c>
      <c r="K164" t="n" s="27937">
        <v>0.0</v>
      </c>
      <c r="L164" t="n" s="27938">
        <v>1.0</v>
      </c>
      <c r="M164" t="n" s="27939">
        <v>5.0</v>
      </c>
      <c r="N164" t="n" s="27940">
        <v>0.0</v>
      </c>
      <c r="O164" t="n" s="27941">
        <v>0.0</v>
      </c>
      <c r="P164" s="27942">
        <f>IF(HLOOKUP("Shots",A1:CV300,164,FALSE)=0,0,HLOOKUP("SIB",A1:CV300,164,FALSE)/HLOOKUP("Shots",A1:CV300,164,FALSE))</f>
      </c>
      <c r="Q164" t="n" s="27943">
        <v>0.0</v>
      </c>
      <c r="R164" s="27944">
        <f>IF(HLOOKUP("Shots",A1:CV300,164,FALSE)=0,0,HLOOKUP("S6YD",A1:CV300,164,FALSE)/HLOOKUP("Shots",A1:CV300,164,FALSE))</f>
      </c>
      <c r="S164" t="n" s="27945">
        <v>0.0</v>
      </c>
      <c r="T164" s="27946">
        <f>IF(HLOOKUP("Shots",A1:CV300,164,FALSE)=0,0,HLOOKUP("Headers",A1:CV300,164,FALSE)/HLOOKUP("Shots",A1:CV300,164,FALSE))</f>
      </c>
      <c r="U164" t="n" s="27947">
        <v>0.0</v>
      </c>
      <c r="V164" s="27948">
        <f>IF(HLOOKUP("Shots",A1:CV300,164,FALSE)=0,0,HLOOKUP("SOT",A1:CV300,164,FALSE)/HLOOKUP("Shots",A1:CV300,164,FALSE))</f>
      </c>
      <c r="W164" s="27949">
        <f>IF(HLOOKUP("Shots",A1:CV300,164,FALSE)=0,0,HLOOKUP("Gs",A1:CV300,164,FALSE)/HLOOKUP("Shots",A1:CV300,164,FALSE))</f>
      </c>
      <c r="X164" t="n" s="27950">
        <v>1.0</v>
      </c>
      <c r="Y164" t="n" s="27951">
        <v>1.0</v>
      </c>
      <c r="Z164" t="n" s="27952">
        <v>1.0</v>
      </c>
      <c r="AA164" s="27953">
        <f>IF(HLOOKUP("KP",A1:CV300,164,FALSE)=0,0,HLOOKUP("As",A1:CV300,164,FALSE)/HLOOKUP("KP",A1:CV300,164,FALSE))</f>
      </c>
      <c r="AB164" s="27954"/>
      <c r="AC164" t="n" s="27955">
        <v>100.0</v>
      </c>
      <c r="AD164" t="n" s="27956">
        <v>1.0</v>
      </c>
      <c r="AE164" t="n" s="27957">
        <v>0.0</v>
      </c>
      <c r="AF164" t="n" s="27958">
        <v>0.0</v>
      </c>
      <c r="AG164" s="27959">
        <f>IF(HLOOKUP("BC",A1:CV300,164,FALSE)=0,0,HLOOKUP("Gs - BC",A1:CV300,164,FALSE)/HLOOKUP("BC",A1:CV300,164,FALSE))</f>
      </c>
      <c r="AH164" s="27960">
        <f>HLOOKUP("BC",A1:CV300,164,FALSE) - HLOOKUP("BC Miss",A1:CV300,164,FALSE)</f>
      </c>
      <c r="AI164" s="27961">
        <f>IF(HLOOKUP("Gs",A1:CV300,164,FALSE)=0,0,HLOOKUP("Gs - BC",A1:CV300,164,FALSE)/HLOOKUP("Gs",A1:CV300,164,FALSE))</f>
      </c>
      <c r="AJ164" t="n" s="27962">
        <v>0.0</v>
      </c>
      <c r="AK164" t="n" s="27963">
        <v>0.0</v>
      </c>
      <c r="AL164" s="27964">
        <f>HLOOKUP("BC",A1:CV300,164,FALSE) - (HLOOKUP("PK Gs",A1:CV300,164,FALSE) + HLOOKUP("PK Miss",A1:CV300,164,FALSE))</f>
      </c>
      <c r="AM164" s="27965">
        <f>HLOOKUP("BC Miss",A1:CV300,164,FALSE) - HLOOKUP("PK Miss",A1:CV300,164,FALSE)</f>
      </c>
      <c r="AN164" s="27966">
        <f>IF(HLOOKUP("BC - Open",A1:CV300,164,FALSE)=0,0,HLOOKUP("BC - Open Miss",A1:CV300,164,FALSE)/HLOOKUP("BC - Open",A1:CV300,164,FALSE))</f>
      </c>
      <c r="AO164" t="n" s="27967">
        <v>0.0</v>
      </c>
      <c r="AP164" s="27968">
        <f>IF(HLOOKUP("Gs",A1:CV300,164,FALSE)=0,0,HLOOKUP("GIB",A1:CV300,164,FALSE)/HLOOKUP("Gs",A1:CV300,164,FALSE))</f>
      </c>
      <c r="AQ164" t="n" s="27969">
        <v>0.0</v>
      </c>
      <c r="AR164" s="27970">
        <f>IF(HLOOKUP("Gs",A1:CV300,164,FALSE)=0,0,HLOOKUP("Gs - Open",A1:CV300,164,FALSE)/HLOOKUP("Gs",A1:CV300,164,FALSE))</f>
      </c>
      <c r="AS164" t="n" s="27971">
        <v>0.0</v>
      </c>
      <c r="AT164" t="n" s="27972">
        <v>0.17</v>
      </c>
      <c r="AU164" s="27973">
        <f>IF(HLOOKUP("Mins",A1:CV300,164,FALSE)=0,0,HLOOKUP("Pts",A1:CV300,164,FALSE)/HLOOKUP("Mins",A1:CV300,164,FALSE)* 90)</f>
      </c>
      <c r="AV164" s="27974">
        <f>IF(HLOOKUP("Apps",A1:CV300,164,FALSE)=0,0,HLOOKUP("Pts",A1:CV300,164,FALSE)/HLOOKUP("Apps",A1:CV300,164,FALSE)* 1)</f>
      </c>
      <c r="AW164" s="27975">
        <f>IF(HLOOKUP("Mins",A1:CV300,164,FALSE)=0,0,HLOOKUP("Gs",A1:CV300,164,FALSE)/HLOOKUP("Mins",A1:CV300,164,FALSE)* 90)</f>
      </c>
      <c r="AX164" s="27976">
        <f>IF(HLOOKUP("Mins",A1:CV300,164,FALSE)=0,0,HLOOKUP("Bonus",A1:CV300,164,FALSE)/HLOOKUP("Mins",A1:CV300,164,FALSE)* 90)</f>
      </c>
      <c r="AY164" s="27977">
        <f>IF(HLOOKUP("Mins",A1:CV300,164,FALSE)=0,0,HLOOKUP("BPS",A1:CV300,164,FALSE)/HLOOKUP("Mins",A1:CV300,164,FALSE)* 90)</f>
      </c>
      <c r="AZ164" s="27978">
        <f>IF(HLOOKUP("Mins",A1:CV300,164,FALSE)=0,0,HLOOKUP("Base BPS",A1:CV300,164,FALSE)/HLOOKUP("Mins",A1:CV300,164,FALSE)* 90)</f>
      </c>
      <c r="BA164" s="27979">
        <f>IF(HLOOKUP("Mins",A1:CV300,164,FALSE)=0,0,HLOOKUP("PenTchs",A1:CV300,164,FALSE)/HLOOKUP("Mins",A1:CV300,164,FALSE)* 90)</f>
      </c>
      <c r="BB164" s="27980">
        <f>IF(HLOOKUP("Mins",A1:CV300,164,FALSE)=0,0,HLOOKUP("Shots",A1:CV300,164,FALSE)/HLOOKUP("Mins",A1:CV300,164,FALSE)* 90)</f>
      </c>
      <c r="BC164" s="27981">
        <f>IF(HLOOKUP("Mins",A1:CV300,164,FALSE)=0,0,HLOOKUP("SIB",A1:CV300,164,FALSE)/HLOOKUP("Mins",A1:CV300,164,FALSE)* 90)</f>
      </c>
      <c r="BD164" s="27982">
        <f>IF(HLOOKUP("Mins",A1:CV300,164,FALSE)=0,0,HLOOKUP("S6YD",A1:CV300,164,FALSE)/HLOOKUP("Mins",A1:CV300,164,FALSE)* 90)</f>
      </c>
      <c r="BE164" s="27983">
        <f>IF(HLOOKUP("Mins",A1:CV300,164,FALSE)=0,0,HLOOKUP("Headers",A1:CV300,164,FALSE)/HLOOKUP("Mins",A1:CV300,164,FALSE)* 90)</f>
      </c>
      <c r="BF164" s="27984">
        <f>IF(HLOOKUP("Mins",A1:CV300,164,FALSE)=0,0,HLOOKUP("SOT",A1:CV300,164,FALSE)/HLOOKUP("Mins",A1:CV300,164,FALSE)* 90)</f>
      </c>
      <c r="BG164" s="27985">
        <f>IF(HLOOKUP("Mins",A1:CV300,164,FALSE)=0,0,HLOOKUP("As",A1:CV300,164,FALSE)/HLOOKUP("Mins",A1:CV300,164,FALSE)* 90)</f>
      </c>
      <c r="BH164" s="27986">
        <f>IF(HLOOKUP("Mins",A1:CV300,164,FALSE)=0,0,HLOOKUP("FPL As",A1:CV300,164,FALSE)/HLOOKUP("Mins",A1:CV300,164,FALSE)* 90)</f>
      </c>
      <c r="BI164" s="27987">
        <f>IF(HLOOKUP("Mins",A1:CV300,164,FALSE)=0,0,HLOOKUP("BC Created",A1:CV300,164,FALSE)/HLOOKUP("Mins",A1:CV300,164,FALSE)* 90)</f>
      </c>
      <c r="BJ164" s="27988">
        <f>IF(HLOOKUP("Mins",A1:CV300,164,FALSE)=0,0,HLOOKUP("KP",A1:CV300,164,FALSE)/HLOOKUP("Mins",A1:CV300,164,FALSE)* 90)</f>
      </c>
      <c r="BK164" s="27989">
        <f>IF(HLOOKUP("Mins",A1:CV300,164,FALSE)=0,0,HLOOKUP("BC",A1:CV300,164,FALSE)/HLOOKUP("Mins",A1:CV300,164,FALSE)* 90)</f>
      </c>
      <c r="BL164" s="27990">
        <f>IF(HLOOKUP("Mins",A1:CV300,164,FALSE)=0,0,HLOOKUP("BC Miss",A1:CV300,164,FALSE)/HLOOKUP("Mins",A1:CV300,164,FALSE)* 90)</f>
      </c>
      <c r="BM164" s="27991">
        <f>IF(HLOOKUP("Mins",A1:CV300,164,FALSE)=0,0,HLOOKUP("Gs - BC",A1:CV300,164,FALSE)/HLOOKUP("Mins",A1:CV300,164,FALSE)* 90)</f>
      </c>
      <c r="BN164" s="27992">
        <f>IF(HLOOKUP("Mins",A1:CV300,164,FALSE)=0,0,HLOOKUP("GIB",A1:CV300,164,FALSE)/HLOOKUP("Mins",A1:CV300,164,FALSE)* 90)</f>
      </c>
      <c r="BO164" s="27993">
        <f>IF(HLOOKUP("Mins",A1:CV300,164,FALSE)=0,0,HLOOKUP("Gs - Open",A1:CV300,164,FALSE)/HLOOKUP("Mins",A1:CV300,164,FALSE)* 90)</f>
      </c>
      <c r="BP164" s="27994">
        <f>IF(HLOOKUP("Mins",A1:CV300,164,FALSE)=0,0,HLOOKUP("ICT Index",A1:CV300,164,FALSE)/HLOOKUP("Mins",A1:CV300,164,FALSE)* 90)</f>
      </c>
      <c r="BQ164" s="27995">
        <f>IF(HLOOKUP("Mins",A1:CV300,164,FALSE)=0,0,(0.036*(HLOOKUP("Shots",A1:CV300,164,FALSE)-HLOOKUP("SIB",A1:CV300,164,FALSE))+0.142*(HLOOKUP("SIB",A1:CV300,164,FALSE)-(HLOOKUP("PK Gs",A1:CV300,164,FALSE)+HLOOKUP("PK Miss",A1:CV300,164,FALSE)))+0.75*(HLOOKUP("PK Gs",A1:CV300,164,FALSE)+HLOOKUP("PK Miss",A1:CV300,164,FALSE)))/HLOOKUP("Mins",A1:CV300,164,FALSE)*90)</f>
      </c>
      <c r="BR164" s="27996">
        <f>0.0885*HLOOKUP("KP/90",A1:CV300,164,FALSE)</f>
      </c>
      <c r="BS164" s="27997">
        <f>5*HLOOKUP("xG/90",A1:CV300,164,FALSE)+3*HLOOKUP("xA/90",A1:CV300,164,FALSE)</f>
      </c>
      <c r="BT164" s="27998">
        <f>HLOOKUP("xPts/90",A1:CV300,164,FALSE)-(5*0.75*(HLOOKUP("PK Gs",A1:CV300,164,FALSE)+HLOOKUP("PK Miss",A1:CV300,164,FALSE))*90/HLOOKUP("Mins",A1:CV300,164,FALSE))</f>
      </c>
      <c r="BU164" s="27999">
        <f>IF(HLOOKUP("Mins",A1:CV300,164,FALSE)=0,0,HLOOKUP("fsXG",A1:CV300,164,FALSE)/HLOOKUP("Mins",A1:CV300,164,FALSE)* 90)</f>
      </c>
      <c r="BV164" s="28000">
        <f>IF(HLOOKUP("Mins",A1:CV300,164,FALSE)=0,0,HLOOKUP("fsXA",A1:CV300,164,FALSE)/HLOOKUP("Mins",A1:CV300,164,FALSE)* 90)</f>
      </c>
      <c r="BW164" s="28001">
        <f>5*HLOOKUP("fsXG/90",A1:CV300,164,FALSE)+3*HLOOKUP("fsXA/90",A1:CV300,164,FALSE)</f>
      </c>
      <c r="BX164" t="n" s="28002">
        <v>0.0</v>
      </c>
      <c r="BY164" t="n" s="28003">
        <v>0.45410099625587463</v>
      </c>
      <c r="BZ164" s="28004">
        <f>5*HLOOKUP("uXG/90",A1:CV300,164,FALSE)+3*HLOOKUP("uXA/90",A1:CV300,164,FALSE)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2020-01-17T19:02:27Z</dcterms:created>
  <dc:creator>Apache POI</dc:creator>
</cp:coreProperties>
</file>